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2" yWindow="41" windowWidth="12118" windowHeight="9007" tabRatio="948"/>
  </bookViews>
  <sheets>
    <sheet name="Link Data 2013" sheetId="25" r:id="rId1"/>
    <sheet name="Link Data 2012" sheetId="18" r:id="rId2"/>
    <sheet name="Link Data 2011" sheetId="15" r:id="rId3"/>
    <sheet name="Link Data 2010" sheetId="16" r:id="rId4"/>
    <sheet name="Link Data 2009" sheetId="14" r:id="rId5"/>
    <sheet name="Link Data 2008" sheetId="10" r:id="rId6"/>
    <sheet name="Link Data 2007" sheetId="13" r:id="rId7"/>
    <sheet name="Link Data 2006" sheetId="3" r:id="rId8"/>
    <sheet name="Link Data 2000-2005" sheetId="8" r:id="rId9"/>
  </sheets>
  <definedNames>
    <definedName name="b" localSheetId="0">#REF!</definedName>
    <definedName name="b">#REF!</definedName>
    <definedName name="GOUKEI" localSheetId="0">#REF!</definedName>
    <definedName name="GOUKEI">#REF!</definedName>
    <definedName name="JK" localSheetId="0">#REF!</definedName>
    <definedName name="JK">#REF!</definedName>
    <definedName name="_xlnm.Print_Area" localSheetId="8">'Link Data 2000-2005'!$B$1:$L$198</definedName>
    <definedName name="_xlnm.Print_Area" localSheetId="7">'Link Data 2006'!$B$1:$L$39</definedName>
    <definedName name="_xlnm.Print_Area" localSheetId="6">'Link Data 2007'!$B$1:$L$39</definedName>
    <definedName name="_xlnm.Print_Area" localSheetId="5">'Link Data 2008'!$A$1:$L$49</definedName>
    <definedName name="_xlnm.Print_Area" localSheetId="4">'Link Data 2009'!$A$1:$L$46</definedName>
    <definedName name="_xlnm.Print_Area" localSheetId="3">'Link Data 2010'!$A$1:$M$45</definedName>
    <definedName name="_xlnm.Print_Area" localSheetId="2">'Link Data 2011'!$A$1:$L$45</definedName>
    <definedName name="_xlnm.Print_Area" localSheetId="1">'Link Data 2012'!$A$1:$L$47</definedName>
    <definedName name="_xlnm.Print_Area" localSheetId="0">'Link Data 2013'!$A$1:$L$47</definedName>
    <definedName name="SISETSUMEI" localSheetId="0">#REF!</definedName>
    <definedName name="SISETSUMEI">#REF!</definedName>
    <definedName name="TEIIN" localSheetId="0">#REF!</definedName>
    <definedName name="TEIIN">#REF!</definedName>
    <definedName name="TENSO" localSheetId="0">#REF!</definedName>
    <definedName name="TENSO">#REF!</definedName>
  </definedNames>
  <calcPr calcId="145621"/>
</workbook>
</file>

<file path=xl/calcChain.xml><?xml version="1.0" encoding="utf-8"?>
<calcChain xmlns="http://schemas.openxmlformats.org/spreadsheetml/2006/main">
  <c r="D186" i="8" l="1"/>
  <c r="F186" i="8" s="1"/>
  <c r="D166" i="8"/>
  <c r="H11" i="8"/>
  <c r="H12" i="8"/>
  <c r="H13" i="8"/>
  <c r="H14" i="8"/>
  <c r="H15" i="8"/>
  <c r="H16" i="8"/>
  <c r="H17" i="8"/>
  <c r="H18" i="8"/>
  <c r="H20" i="8"/>
  <c r="H21" i="8"/>
  <c r="H22" i="8"/>
  <c r="H23" i="8"/>
  <c r="H24" i="8"/>
  <c r="H25" i="8"/>
  <c r="H27" i="8"/>
  <c r="H29" i="8"/>
  <c r="H30" i="8"/>
  <c r="H31" i="8"/>
  <c r="H32" i="8"/>
  <c r="D38" i="8"/>
  <c r="H38" i="8"/>
  <c r="K38" i="8"/>
  <c r="D40" i="8"/>
  <c r="F40" i="8" s="1"/>
  <c r="H40" i="8"/>
  <c r="K40" i="8"/>
  <c r="D41" i="8"/>
  <c r="F41" i="8" s="1"/>
  <c r="H41" i="8"/>
  <c r="K41" i="8"/>
  <c r="F42" i="8"/>
  <c r="H42" i="8"/>
  <c r="K42" i="8"/>
  <c r="D43" i="8"/>
  <c r="F43" i="8"/>
  <c r="H43" i="8"/>
  <c r="K43" i="8"/>
  <c r="F44" i="8"/>
  <c r="H44" i="8"/>
  <c r="K44" i="8"/>
  <c r="F45" i="8"/>
  <c r="H45" i="8"/>
  <c r="K45" i="8"/>
  <c r="F46" i="8"/>
  <c r="H46" i="8"/>
  <c r="K46" i="8"/>
  <c r="D47" i="8"/>
  <c r="F47" i="8" s="1"/>
  <c r="H47" i="8"/>
  <c r="K47" i="8"/>
  <c r="D48" i="8"/>
  <c r="F48" i="8" s="1"/>
  <c r="H48" i="8"/>
  <c r="K48" i="8"/>
  <c r="D49" i="8"/>
  <c r="F49" i="8" s="1"/>
  <c r="H49" i="8"/>
  <c r="K49" i="8"/>
  <c r="D50" i="8"/>
  <c r="F50" i="8" s="1"/>
  <c r="H50" i="8"/>
  <c r="K50" i="8"/>
  <c r="D51" i="8"/>
  <c r="F51" i="8" s="1"/>
  <c r="H51" i="8"/>
  <c r="K51" i="8"/>
  <c r="F52" i="8"/>
  <c r="H52" i="8"/>
  <c r="K52" i="8"/>
  <c r="D53" i="8"/>
  <c r="F53" i="8" s="1"/>
  <c r="H53" i="8"/>
  <c r="D54" i="8"/>
  <c r="F54" i="8" s="1"/>
  <c r="H54" i="8"/>
  <c r="K54" i="8"/>
  <c r="F55" i="8"/>
  <c r="H55" i="8"/>
  <c r="K55" i="8"/>
  <c r="F56" i="8"/>
  <c r="H56" i="8"/>
  <c r="K56" i="8"/>
  <c r="F58" i="8"/>
  <c r="H58" i="8"/>
  <c r="K58" i="8"/>
  <c r="F59" i="8"/>
  <c r="H59" i="8"/>
  <c r="F60" i="8"/>
  <c r="H60" i="8"/>
  <c r="K60" i="8"/>
  <c r="F61" i="8"/>
  <c r="H61" i="8"/>
  <c r="K61" i="8"/>
  <c r="F62" i="8"/>
  <c r="H62" i="8"/>
  <c r="K62" i="8"/>
  <c r="E63" i="8"/>
  <c r="F63" i="8" s="1"/>
  <c r="H63" i="8"/>
  <c r="D70" i="8"/>
  <c r="F70" i="8" s="1"/>
  <c r="H70" i="8"/>
  <c r="I70" i="8"/>
  <c r="K70" i="8"/>
  <c r="D72" i="8"/>
  <c r="F72" i="8" s="1"/>
  <c r="H72" i="8"/>
  <c r="I72" i="8"/>
  <c r="K72" i="8"/>
  <c r="D73" i="8"/>
  <c r="E73" i="8"/>
  <c r="H73" i="8" s="1"/>
  <c r="D74" i="8"/>
  <c r="E74" i="8"/>
  <c r="F74" i="8" s="1"/>
  <c r="G74" i="8"/>
  <c r="I74" i="8"/>
  <c r="J74" i="8"/>
  <c r="F75" i="8"/>
  <c r="H75" i="8"/>
  <c r="I75" i="8"/>
  <c r="J75" i="8"/>
  <c r="K75" i="8" s="1"/>
  <c r="F76" i="8"/>
  <c r="H76" i="8"/>
  <c r="I76" i="8"/>
  <c r="K76" i="8"/>
  <c r="F77" i="8"/>
  <c r="H77" i="8"/>
  <c r="I77" i="8"/>
  <c r="K77" i="8"/>
  <c r="F78" i="8"/>
  <c r="H78" i="8"/>
  <c r="I78" i="8"/>
  <c r="K78" i="8"/>
  <c r="D79" i="8"/>
  <c r="F79" i="8" s="1"/>
  <c r="H79" i="8"/>
  <c r="I79" i="8"/>
  <c r="K79" i="8"/>
  <c r="F80" i="8"/>
  <c r="H80" i="8"/>
  <c r="I80" i="8"/>
  <c r="K80" i="8"/>
  <c r="F81" i="8"/>
  <c r="H81" i="8"/>
  <c r="I81" i="8"/>
  <c r="K81" i="8"/>
  <c r="F82" i="8"/>
  <c r="H82" i="8"/>
  <c r="K82" i="8"/>
  <c r="D83" i="8"/>
  <c r="F83" i="8" s="1"/>
  <c r="H83" i="8"/>
  <c r="K83" i="8"/>
  <c r="F84" i="8"/>
  <c r="H84" i="8"/>
  <c r="K84" i="8"/>
  <c r="D85" i="8"/>
  <c r="E85" i="8"/>
  <c r="H85" i="8" s="1"/>
  <c r="F86" i="8"/>
  <c r="H86" i="8"/>
  <c r="I86" i="8"/>
  <c r="K86" i="8"/>
  <c r="F87" i="8"/>
  <c r="H87" i="8"/>
  <c r="I87" i="8"/>
  <c r="K87" i="8"/>
  <c r="G88" i="8"/>
  <c r="L88" i="8"/>
  <c r="D90" i="8"/>
  <c r="F90" i="8" s="1"/>
  <c r="H90" i="8"/>
  <c r="I90" i="8"/>
  <c r="J90" i="8"/>
  <c r="K90" i="8" s="1"/>
  <c r="F91" i="8"/>
  <c r="F92" i="8"/>
  <c r="H92" i="8"/>
  <c r="K92" i="8"/>
  <c r="F93" i="8"/>
  <c r="H93" i="8"/>
  <c r="I93" i="8"/>
  <c r="K93" i="8"/>
  <c r="F94" i="8"/>
  <c r="H94" i="8"/>
  <c r="I94" i="8"/>
  <c r="K94" i="8"/>
  <c r="E95" i="8"/>
  <c r="G95" i="8"/>
  <c r="H95" i="8" s="1"/>
  <c r="L95" i="8"/>
  <c r="F102" i="8"/>
  <c r="H102" i="8"/>
  <c r="K102" i="8"/>
  <c r="F104" i="8"/>
  <c r="H104" i="8"/>
  <c r="K104" i="8"/>
  <c r="F105" i="8"/>
  <c r="H105" i="8"/>
  <c r="K105" i="8"/>
  <c r="F106" i="8"/>
  <c r="H106" i="8"/>
  <c r="K106" i="8"/>
  <c r="F107" i="8"/>
  <c r="H107" i="8"/>
  <c r="K107" i="8"/>
  <c r="F108" i="8"/>
  <c r="H108" i="8"/>
  <c r="K108" i="8"/>
  <c r="F109" i="8"/>
  <c r="H109" i="8"/>
  <c r="K109" i="8"/>
  <c r="F110" i="8"/>
  <c r="H110" i="8"/>
  <c r="K110" i="8"/>
  <c r="F111" i="8"/>
  <c r="H111" i="8"/>
  <c r="K111" i="8"/>
  <c r="F112" i="8"/>
  <c r="H112" i="8"/>
  <c r="K112" i="8"/>
  <c r="F113" i="8"/>
  <c r="H113" i="8"/>
  <c r="K113" i="8"/>
  <c r="F114" i="8"/>
  <c r="H114" i="8"/>
  <c r="K114" i="8"/>
  <c r="F115" i="8"/>
  <c r="H115" i="8"/>
  <c r="K115" i="8"/>
  <c r="F116" i="8"/>
  <c r="H116" i="8"/>
  <c r="F117" i="8"/>
  <c r="F118" i="8"/>
  <c r="H118" i="8"/>
  <c r="K118" i="8"/>
  <c r="F119" i="8"/>
  <c r="H119" i="8"/>
  <c r="K119" i="8"/>
  <c r="D120" i="8"/>
  <c r="E120" i="8"/>
  <c r="F120" i="8"/>
  <c r="G120" i="8"/>
  <c r="I120" i="8"/>
  <c r="J120" i="8"/>
  <c r="K120" i="8" s="1"/>
  <c r="L120" i="8"/>
  <c r="F122" i="8"/>
  <c r="H122" i="8"/>
  <c r="K122" i="8"/>
  <c r="F123" i="8"/>
  <c r="H123" i="8"/>
  <c r="F124" i="8"/>
  <c r="H124" i="8"/>
  <c r="K124" i="8"/>
  <c r="F125" i="8"/>
  <c r="H125" i="8"/>
  <c r="K125" i="8"/>
  <c r="F126" i="8"/>
  <c r="H126" i="8"/>
  <c r="K126" i="8"/>
  <c r="D127" i="8"/>
  <c r="E127" i="8"/>
  <c r="F127" i="8" s="1"/>
  <c r="G127" i="8"/>
  <c r="I127" i="8"/>
  <c r="J127" i="8"/>
  <c r="L127" i="8"/>
  <c r="D134" i="8"/>
  <c r="F134" i="8" s="1"/>
  <c r="H134" i="8"/>
  <c r="I134" i="8"/>
  <c r="K134" i="8"/>
  <c r="D136" i="8"/>
  <c r="F136" i="8" s="1"/>
  <c r="H136" i="8"/>
  <c r="I136" i="8"/>
  <c r="K136" i="8"/>
  <c r="D137" i="8"/>
  <c r="E137" i="8"/>
  <c r="G137" i="8"/>
  <c r="D138" i="8"/>
  <c r="E138" i="8"/>
  <c r="F138" i="8" s="1"/>
  <c r="G138" i="8"/>
  <c r="I138" i="8"/>
  <c r="J138" i="8"/>
  <c r="K138" i="8" s="1"/>
  <c r="D139" i="8"/>
  <c r="F139" i="8" s="1"/>
  <c r="G139" i="8"/>
  <c r="H139" i="8" s="1"/>
  <c r="I139" i="8"/>
  <c r="K139" i="8"/>
  <c r="D140" i="8"/>
  <c r="F140" i="8" s="1"/>
  <c r="H140" i="8"/>
  <c r="I140" i="8"/>
  <c r="K140" i="8"/>
  <c r="D141" i="8"/>
  <c r="F141" i="8" s="1"/>
  <c r="H141" i="8"/>
  <c r="K141" i="8"/>
  <c r="D142" i="8"/>
  <c r="F142" i="8" s="1"/>
  <c r="H142" i="8"/>
  <c r="K142" i="8"/>
  <c r="D143" i="8"/>
  <c r="F143" i="8" s="1"/>
  <c r="H143" i="8"/>
  <c r="I143" i="8"/>
  <c r="K143" i="8"/>
  <c r="D144" i="8"/>
  <c r="F144" i="8" s="1"/>
  <c r="H144" i="8"/>
  <c r="I144" i="8"/>
  <c r="K144" i="8"/>
  <c r="D145" i="8"/>
  <c r="F145" i="8" s="1"/>
  <c r="H145" i="8"/>
  <c r="K145" i="8"/>
  <c r="F146" i="8"/>
  <c r="H146" i="8"/>
  <c r="I146" i="8"/>
  <c r="K146" i="8"/>
  <c r="D147" i="8"/>
  <c r="F147" i="8" s="1"/>
  <c r="H147" i="8"/>
  <c r="I147" i="8"/>
  <c r="K147" i="8"/>
  <c r="D148" i="8"/>
  <c r="F148" i="8" s="1"/>
  <c r="H148" i="8"/>
  <c r="I148" i="8"/>
  <c r="D149" i="8"/>
  <c r="E149" i="8"/>
  <c r="D150" i="8"/>
  <c r="F150" i="8" s="1"/>
  <c r="H150" i="8"/>
  <c r="I150" i="8"/>
  <c r="K150" i="8"/>
  <c r="D151" i="8"/>
  <c r="F151" i="8" s="1"/>
  <c r="H151" i="8"/>
  <c r="I151" i="8"/>
  <c r="K151" i="8"/>
  <c r="L152" i="8"/>
  <c r="D154" i="8"/>
  <c r="F154" i="8" s="1"/>
  <c r="H154" i="8"/>
  <c r="I154" i="8"/>
  <c r="K154" i="8"/>
  <c r="D155" i="8"/>
  <c r="F155" i="8" s="1"/>
  <c r="H155" i="8"/>
  <c r="D156" i="8"/>
  <c r="F156" i="8" s="1"/>
  <c r="H156" i="8"/>
  <c r="I156" i="8"/>
  <c r="I159" i="8" s="1"/>
  <c r="K156" i="8"/>
  <c r="D157" i="8"/>
  <c r="F157" i="8"/>
  <c r="H157" i="8"/>
  <c r="I157" i="8"/>
  <c r="K157" i="8"/>
  <c r="D158" i="8"/>
  <c r="F158" i="8" s="1"/>
  <c r="H158" i="8"/>
  <c r="I158" i="8"/>
  <c r="K158" i="8"/>
  <c r="E159" i="8"/>
  <c r="G159" i="8"/>
  <c r="J159" i="8"/>
  <c r="L159" i="8"/>
  <c r="F166" i="8"/>
  <c r="H166" i="8"/>
  <c r="I166" i="8"/>
  <c r="K166" i="8"/>
  <c r="D168" i="8"/>
  <c r="F168" i="8" s="1"/>
  <c r="H168" i="8"/>
  <c r="I168" i="8"/>
  <c r="K168" i="8"/>
  <c r="D169" i="8"/>
  <c r="E169" i="8"/>
  <c r="H169" i="8" s="1"/>
  <c r="D170" i="8"/>
  <c r="E170" i="8"/>
  <c r="G170" i="8"/>
  <c r="I170" i="8"/>
  <c r="D171" i="8"/>
  <c r="F171" i="8" s="1"/>
  <c r="H171" i="8"/>
  <c r="K171" i="8"/>
  <c r="F172" i="8"/>
  <c r="H172" i="8"/>
  <c r="K172" i="8"/>
  <c r="F173" i="8"/>
  <c r="H173" i="8"/>
  <c r="K173" i="8"/>
  <c r="F174" i="8"/>
  <c r="H174" i="8"/>
  <c r="K174" i="8"/>
  <c r="D175" i="8"/>
  <c r="F175" i="8" s="1"/>
  <c r="H175" i="8"/>
  <c r="I175" i="8"/>
  <c r="K175" i="8"/>
  <c r="F176" i="8"/>
  <c r="H176" i="8"/>
  <c r="I176" i="8"/>
  <c r="K176" i="8"/>
  <c r="F177" i="8"/>
  <c r="H177" i="8"/>
  <c r="K177" i="8"/>
  <c r="F178" i="8"/>
  <c r="H178" i="8"/>
  <c r="K178" i="8"/>
  <c r="F179" i="8"/>
  <c r="H179" i="8"/>
  <c r="K179" i="8"/>
  <c r="F180" i="8"/>
  <c r="H180" i="8"/>
  <c r="K180" i="8"/>
  <c r="D181" i="8"/>
  <c r="E181" i="8"/>
  <c r="H181" i="8" s="1"/>
  <c r="F182" i="8"/>
  <c r="H182" i="8"/>
  <c r="K182" i="8"/>
  <c r="F183" i="8"/>
  <c r="H183" i="8"/>
  <c r="K183" i="8"/>
  <c r="J184" i="8"/>
  <c r="L184" i="8"/>
  <c r="H186" i="8"/>
  <c r="I186" i="8"/>
  <c r="I191" i="8" s="1"/>
  <c r="K186" i="8"/>
  <c r="F187" i="8"/>
  <c r="H187" i="8"/>
  <c r="F188" i="8"/>
  <c r="H188" i="8"/>
  <c r="K188" i="8"/>
  <c r="D189" i="8"/>
  <c r="F189" i="8" s="1"/>
  <c r="H189" i="8"/>
  <c r="I189" i="8"/>
  <c r="K189" i="8"/>
  <c r="D190" i="8"/>
  <c r="F190" i="8" s="1"/>
  <c r="H190" i="8"/>
  <c r="K190" i="8"/>
  <c r="E191" i="8"/>
  <c r="K191" i="8" s="1"/>
  <c r="G191" i="8"/>
  <c r="J191" i="8"/>
  <c r="L191" i="8"/>
  <c r="G10" i="3"/>
  <c r="D17" i="3"/>
  <c r="E11" i="3"/>
  <c r="D11" i="3"/>
  <c r="D16" i="3"/>
  <c r="F16" i="3" s="1"/>
  <c r="D23" i="3"/>
  <c r="L32" i="3"/>
  <c r="J32" i="3"/>
  <c r="E32" i="3"/>
  <c r="I27" i="3"/>
  <c r="I30" i="3"/>
  <c r="I31" i="3"/>
  <c r="G32" i="3"/>
  <c r="H32" i="3" s="1"/>
  <c r="D27" i="3"/>
  <c r="F27" i="3" s="1"/>
  <c r="D30" i="3"/>
  <c r="F30" i="3" s="1"/>
  <c r="D32" i="3"/>
  <c r="K31" i="3"/>
  <c r="H31" i="3"/>
  <c r="F31" i="3"/>
  <c r="K30" i="3"/>
  <c r="H30" i="3"/>
  <c r="K29" i="3"/>
  <c r="H29" i="3"/>
  <c r="F29" i="3"/>
  <c r="F28" i="3"/>
  <c r="K27" i="3"/>
  <c r="H27" i="3"/>
  <c r="L25" i="3"/>
  <c r="J11" i="3"/>
  <c r="J25" i="3" s="1"/>
  <c r="E10" i="3"/>
  <c r="K10" i="3" s="1"/>
  <c r="E22" i="3"/>
  <c r="I9" i="3"/>
  <c r="I25" i="3" s="1"/>
  <c r="I10" i="3"/>
  <c r="I11" i="3"/>
  <c r="I12" i="3"/>
  <c r="I13" i="3"/>
  <c r="I15" i="3"/>
  <c r="I16" i="3"/>
  <c r="I17" i="3"/>
  <c r="I21" i="3"/>
  <c r="I23" i="3"/>
  <c r="G11" i="3"/>
  <c r="G22" i="3"/>
  <c r="H22" i="3" s="1"/>
  <c r="D9" i="3"/>
  <c r="F9" i="3" s="1"/>
  <c r="D10" i="3"/>
  <c r="F10" i="3" s="1"/>
  <c r="D12" i="3"/>
  <c r="D18" i="3"/>
  <c r="F18" i="3" s="1"/>
  <c r="D22" i="3"/>
  <c r="K24" i="3"/>
  <c r="H24" i="3"/>
  <c r="F24" i="3"/>
  <c r="K23" i="3"/>
  <c r="H23" i="3"/>
  <c r="F23" i="3"/>
  <c r="K21" i="3"/>
  <c r="H21" i="3"/>
  <c r="F21" i="3"/>
  <c r="K20" i="3"/>
  <c r="H20" i="3"/>
  <c r="F20" i="3"/>
  <c r="K19" i="3"/>
  <c r="H19" i="3"/>
  <c r="F19" i="3"/>
  <c r="K18" i="3"/>
  <c r="H18" i="3"/>
  <c r="K17" i="3"/>
  <c r="H17" i="3"/>
  <c r="F17" i="3"/>
  <c r="K16" i="3"/>
  <c r="H16" i="3"/>
  <c r="K15" i="3"/>
  <c r="H15" i="3"/>
  <c r="F15" i="3"/>
  <c r="K14" i="3"/>
  <c r="H14" i="3"/>
  <c r="F14" i="3"/>
  <c r="K13" i="3"/>
  <c r="H13" i="3"/>
  <c r="F13" i="3"/>
  <c r="K12" i="3"/>
  <c r="H12" i="3"/>
  <c r="F12" i="3"/>
  <c r="K9" i="3"/>
  <c r="H9" i="3"/>
  <c r="K7" i="3"/>
  <c r="I7" i="3"/>
  <c r="H7" i="3"/>
  <c r="D7" i="3"/>
  <c r="F7" i="3" s="1"/>
  <c r="K73" i="8"/>
  <c r="D88" i="8" l="1"/>
  <c r="H138" i="8"/>
  <c r="K74" i="8"/>
  <c r="H191" i="8"/>
  <c r="D184" i="8"/>
  <c r="K159" i="8"/>
  <c r="F137" i="8"/>
  <c r="F85" i="8"/>
  <c r="E152" i="8"/>
  <c r="H74" i="8"/>
  <c r="F73" i="8"/>
  <c r="I152" i="8"/>
  <c r="F181" i="8"/>
  <c r="H170" i="8"/>
  <c r="F169" i="8"/>
  <c r="H120" i="8"/>
  <c r="I95" i="8"/>
  <c r="I88" i="8"/>
  <c r="H137" i="8"/>
  <c r="K169" i="8"/>
  <c r="F170" i="8"/>
  <c r="F149" i="8"/>
  <c r="J95" i="8"/>
  <c r="K95" i="8" s="1"/>
  <c r="D95" i="8"/>
  <c r="F95" i="8" s="1"/>
  <c r="J88" i="8"/>
  <c r="E88" i="8"/>
  <c r="I184" i="8"/>
  <c r="K137" i="8"/>
  <c r="K127" i="8"/>
  <c r="D152" i="8"/>
  <c r="D191" i="8"/>
  <c r="F191" i="8" s="1"/>
  <c r="H159" i="8"/>
  <c r="G152" i="8"/>
  <c r="H152" i="8" s="1"/>
  <c r="H127" i="8"/>
  <c r="K11" i="3"/>
  <c r="D25" i="3"/>
  <c r="H10" i="3"/>
  <c r="I32" i="3"/>
  <c r="E25" i="3"/>
  <c r="F25" i="3" s="1"/>
  <c r="F11" i="3"/>
  <c r="F22" i="3"/>
  <c r="K32" i="3"/>
  <c r="G25" i="3"/>
  <c r="H25" i="3" s="1"/>
  <c r="D159" i="8"/>
  <c r="F159" i="8" s="1"/>
  <c r="H11" i="3"/>
  <c r="F32" i="3"/>
  <c r="G184" i="8"/>
  <c r="E184" i="8"/>
  <c r="K170" i="8"/>
  <c r="J152" i="8"/>
  <c r="K63" i="8"/>
  <c r="K152" i="8" l="1"/>
  <c r="F184" i="8"/>
  <c r="F152" i="8"/>
  <c r="F88" i="8"/>
  <c r="H88" i="8"/>
  <c r="K88" i="8"/>
  <c r="K25" i="3"/>
  <c r="H184" i="8"/>
  <c r="K184" i="8"/>
</calcChain>
</file>

<file path=xl/sharedStrings.xml><?xml version="1.0" encoding="utf-8"?>
<sst xmlns="http://schemas.openxmlformats.org/spreadsheetml/2006/main" count="633" uniqueCount="89">
  <si>
    <t>(2013)</t>
    <phoneticPr fontId="3"/>
  </si>
  <si>
    <t>Table 4-1-2-1 Number and rate of previously convicted persons prosecuted by status at the time of the offense and type of offense</t>
    <phoneticPr fontId="3"/>
  </si>
  <si>
    <t>Offenses</t>
    <phoneticPr fontId="3"/>
  </si>
  <si>
    <t>Persons
prosecuted</t>
    <phoneticPr fontId="3"/>
  </si>
  <si>
    <t>Previously
convicted persons</t>
    <phoneticPr fontId="3"/>
  </si>
  <si>
    <t>Status at the time of the offense</t>
    <phoneticPr fontId="3"/>
  </si>
  <si>
    <t>Suspension of
execution of sentence</t>
    <phoneticPr fontId="3"/>
  </si>
  <si>
    <t>On parole</t>
    <phoneticPr fontId="3"/>
  </si>
  <si>
    <t>On
probation</t>
    <phoneticPr fontId="3"/>
  </si>
  <si>
    <t>Rate of
previously
convicted
persons</t>
    <phoneticPr fontId="3"/>
  </si>
  <si>
    <t>Released
on bail</t>
    <phoneticPr fontId="3"/>
  </si>
  <si>
    <t>Total</t>
    <phoneticPr fontId="3"/>
  </si>
  <si>
    <t>Non-traffic Penal Code offenses</t>
    <phoneticPr fontId="3"/>
  </si>
  <si>
    <t>Homicide</t>
    <phoneticPr fontId="3"/>
  </si>
  <si>
    <t>Robbery</t>
    <phoneticPr fontId="3"/>
  </si>
  <si>
    <t>Injury</t>
    <phoneticPr fontId="3"/>
  </si>
  <si>
    <t>Assault</t>
    <phoneticPr fontId="3"/>
  </si>
  <si>
    <t xml:space="preserve">Intimidation </t>
    <phoneticPr fontId="3"/>
  </si>
  <si>
    <t>Theft</t>
    <phoneticPr fontId="3"/>
  </si>
  <si>
    <t>Fraud</t>
    <phoneticPr fontId="3"/>
  </si>
  <si>
    <t xml:space="preserve">Extortion </t>
    <phoneticPr fontId="3"/>
  </si>
  <si>
    <t>Embezzlement</t>
    <phoneticPr fontId="3"/>
  </si>
  <si>
    <t xml:space="preserve">Rape </t>
    <phoneticPr fontId="3"/>
  </si>
  <si>
    <t xml:space="preserve">Forcible indecency </t>
    <phoneticPr fontId="3"/>
  </si>
  <si>
    <t>Arson</t>
    <phoneticPr fontId="3"/>
  </si>
  <si>
    <t xml:space="preserve">Offer/acceptance of bribe </t>
    <phoneticPr fontId="3"/>
  </si>
  <si>
    <t xml:space="preserve">Breaking into a residence </t>
    <phoneticPr fontId="3"/>
  </si>
  <si>
    <t xml:space="preserve">Physical Violence Act </t>
    <phoneticPr fontId="3"/>
  </si>
  <si>
    <t>Other</t>
    <phoneticPr fontId="3"/>
  </si>
  <si>
    <t>Special act offenses excluding violations of road traffic related acts</t>
    <phoneticPr fontId="3"/>
  </si>
  <si>
    <t>Public Offices Election Act</t>
    <phoneticPr fontId="3"/>
  </si>
  <si>
    <t xml:space="preserve">Minor Offenses Act </t>
    <phoneticPr fontId="3"/>
  </si>
  <si>
    <t>Amusement Business Act</t>
    <phoneticPr fontId="3"/>
  </si>
  <si>
    <t>Anti-Prostitution Act</t>
    <phoneticPr fontId="3"/>
  </si>
  <si>
    <t xml:space="preserve">Child Welfare Act </t>
    <phoneticPr fontId="3"/>
  </si>
  <si>
    <t>Stimulants Control Act</t>
    <phoneticPr fontId="3"/>
  </si>
  <si>
    <t>Cannabis Control Act</t>
    <phoneticPr fontId="3"/>
  </si>
  <si>
    <t xml:space="preserve">Pharmaceutical Affairs Act  </t>
    <phoneticPr fontId="3"/>
  </si>
  <si>
    <t>Note: 1.</t>
    <phoneticPr fontId="3"/>
  </si>
  <si>
    <t>2.</t>
    <phoneticPr fontId="3"/>
  </si>
  <si>
    <t xml:space="preserve">“Previously convicted persons” refers to persons with previous convictions of fine or heavier punishment. </t>
    <phoneticPr fontId="3"/>
  </si>
  <si>
    <t>3.</t>
    <phoneticPr fontId="3"/>
  </si>
  <si>
    <t xml:space="preserve">“Embezzlement” includes "embezzlement of lost property". </t>
    <phoneticPr fontId="3"/>
  </si>
  <si>
    <t>4.</t>
    <phoneticPr fontId="3"/>
  </si>
  <si>
    <t>The figures in parentheses indicate the percentage among prosecuted persons with previous conviction.</t>
  </si>
  <si>
    <t>Source:</t>
    <phoneticPr fontId="3"/>
  </si>
  <si>
    <t xml:space="preserve">Annual Report of Statistics on Prosecution </t>
  </si>
  <si>
    <t xml:space="preserve">Firearms and Swords Control Act </t>
    <phoneticPr fontId="3"/>
  </si>
  <si>
    <t>Narcotics and Psychotropic Control Act</t>
    <phoneticPr fontId="3"/>
  </si>
  <si>
    <t>Poisonous and Deleterious Substances Control Act</t>
    <phoneticPr fontId="3"/>
  </si>
  <si>
    <t>Limited to persons prosecuted for non-traffic Penal Code offenses and special act offenses excluding violations of traffic-related acts,</t>
    <phoneticPr fontId="3"/>
  </si>
  <si>
    <t xml:space="preserve">but excluding juridical persons and those whose previous conviction history is unknown. </t>
    <phoneticPr fontId="3"/>
  </si>
  <si>
    <t>(2012)</t>
    <phoneticPr fontId="3"/>
  </si>
  <si>
    <t>(2011)</t>
    <phoneticPr fontId="3"/>
  </si>
  <si>
    <t>(2010)</t>
    <phoneticPr fontId="3"/>
  </si>
  <si>
    <t>(2009)</t>
    <phoneticPr fontId="3"/>
  </si>
  <si>
    <t xml:space="preserve">Excluding juridical persons and those whose previous conviction history is unknown. </t>
    <phoneticPr fontId="3"/>
  </si>
  <si>
    <t>2.</t>
    <phoneticPr fontId="3"/>
  </si>
  <si>
    <t>3.</t>
    <phoneticPr fontId="3"/>
  </si>
  <si>
    <t>4.</t>
    <phoneticPr fontId="3"/>
  </si>
  <si>
    <t>“Rate of previously convicted persons” refers to the percentage of previously convicted persons among the number of convicted persons.</t>
    <phoneticPr fontId="3"/>
  </si>
  <si>
    <t>6.</t>
    <phoneticPr fontId="3"/>
  </si>
  <si>
    <t>(2008)</t>
    <phoneticPr fontId="3"/>
  </si>
  <si>
    <t>5.</t>
    <phoneticPr fontId="3"/>
  </si>
  <si>
    <t>Limited to persons prosecuted for non-traffic Penal Code offenses and special act offenses excluding violations of traffic-related acts.</t>
    <phoneticPr fontId="3"/>
  </si>
  <si>
    <t>(2007)</t>
    <phoneticPr fontId="3"/>
  </si>
  <si>
    <t xml:space="preserve">Extortion </t>
    <phoneticPr fontId="3"/>
  </si>
  <si>
    <t>Theft</t>
    <phoneticPr fontId="3"/>
  </si>
  <si>
    <t>Fraud</t>
    <phoneticPr fontId="3"/>
  </si>
  <si>
    <t>Poisonous and Deleterious Substances Control Act</t>
    <phoneticPr fontId="3"/>
  </si>
  <si>
    <t>Excluding neglignece driving causing death or injury and violations of traffic-related acts.</t>
    <phoneticPr fontId="3"/>
  </si>
  <si>
    <t>(2006)</t>
    <phoneticPr fontId="3"/>
  </si>
  <si>
    <t>(2000)</t>
    <phoneticPr fontId="3"/>
  </si>
  <si>
    <t>(2001)</t>
    <phoneticPr fontId="3"/>
  </si>
  <si>
    <t>(2002)</t>
    <phoneticPr fontId="3"/>
  </si>
  <si>
    <t>(2003)</t>
    <phoneticPr fontId="3"/>
  </si>
  <si>
    <t>(2004)</t>
    <phoneticPr fontId="3"/>
  </si>
  <si>
    <t>(2005)</t>
    <phoneticPr fontId="3"/>
  </si>
  <si>
    <t xml:space="preserve">Firearms and Swords Control Act </t>
    <phoneticPr fontId="3"/>
  </si>
  <si>
    <t>Stimulants Control Act</t>
    <phoneticPr fontId="3"/>
  </si>
  <si>
    <t>Cannabis Control Act</t>
    <phoneticPr fontId="3"/>
  </si>
  <si>
    <t>Narcotics and Psychotropic Control Act</t>
    <phoneticPr fontId="3"/>
  </si>
  <si>
    <t>Poisonous and Deleterious Substances Control Act</t>
    <phoneticPr fontId="3"/>
  </si>
  <si>
    <t>Others</t>
    <phoneticPr fontId="3"/>
  </si>
  <si>
    <t xml:space="preserve">“Embezzlement” includes embezzlement of lost property. </t>
    <phoneticPr fontId="3"/>
  </si>
  <si>
    <t>Special act offenses excluding traffic-related violations</t>
    <phoneticPr fontId="3"/>
  </si>
  <si>
    <t>Limited to persons prosecuted for non-traffic Penal Code offenses and special act offenses excluding traffic-related violations,</t>
    <phoneticPr fontId="3"/>
  </si>
  <si>
    <t xml:space="preserve">“Previously convicted persons” refers to persons with previous convictions of fine or heavier penalty. </t>
    <phoneticPr fontId="3"/>
  </si>
  <si>
    <t xml:space="preserve">and excluding juridical persons and those whose previous conviction history is unknown.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</si>
</sst>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(* #,##0_);_(* \(#,##0\);_(* &quot;-&quot;_);_(@_)"/>
    <numFmt numFmtId="177" formatCode="_(* #,##0.00_);_(* \(#,##0.00\);_(* &quot;-&quot;??_);_(@_)"/>
    <numFmt numFmtId="178" formatCode="\(0.0\)"/>
    <numFmt numFmtId="179" formatCode="0.0_);[Red]\(0.0\)"/>
    <numFmt numFmtId="180" formatCode="\(#,##0.0\);\(\-#,##0.0\);&quot;&quot;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81" fontId="8" fillId="0" borderId="0" applyFill="0" applyBorder="0" applyAlignment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0" fillId="0" borderId="0">
      <alignment horizontal="left"/>
    </xf>
    <xf numFmtId="38" fontId="11" fillId="16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11" fillId="17" borderId="3" applyNumberFormat="0" applyBorder="0" applyAlignment="0" applyProtection="0"/>
    <xf numFmtId="184" fontId="4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4" borderId="5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2" fillId="4" borderId="0" applyNumberFormat="0" applyBorder="0" applyAlignment="0" applyProtection="0">
      <alignment vertical="center"/>
    </xf>
  </cellStyleXfs>
  <cellXfs count="173">
    <xf numFmtId="0" fontId="0" fillId="0" borderId="0" xfId="0"/>
    <xf numFmtId="0" fontId="34" fillId="0" borderId="0" xfId="0" applyFont="1"/>
    <xf numFmtId="0" fontId="35" fillId="0" borderId="0" xfId="0" applyFont="1" applyBorder="1" applyAlignment="1">
      <alignment horizontal="centerContinuous" vertical="center"/>
    </xf>
    <xf numFmtId="0" fontId="34" fillId="0" borderId="13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176" fontId="36" fillId="0" borderId="14" xfId="52" applyNumberFormat="1" applyFont="1" applyBorder="1" applyAlignment="1">
      <alignment horizontal="right"/>
    </xf>
    <xf numFmtId="176" fontId="36" fillId="0" borderId="16" xfId="52" applyNumberFormat="1" applyFont="1" applyBorder="1" applyAlignment="1">
      <alignment horizontal="right"/>
    </xf>
    <xf numFmtId="179" fontId="36" fillId="0" borderId="16" xfId="52" applyNumberFormat="1" applyFont="1" applyBorder="1"/>
    <xf numFmtId="176" fontId="36" fillId="0" borderId="0" xfId="52" applyNumberFormat="1" applyFont="1" applyBorder="1" applyAlignment="1">
      <alignment horizontal="right"/>
    </xf>
    <xf numFmtId="180" fontId="36" fillId="0" borderId="18" xfId="52" applyNumberFormat="1" applyFont="1" applyBorder="1"/>
    <xf numFmtId="176" fontId="36" fillId="0" borderId="15" xfId="52" applyNumberFormat="1" applyFont="1" applyBorder="1"/>
    <xf numFmtId="180" fontId="36" fillId="0" borderId="14" xfId="52" applyNumberFormat="1" applyFont="1" applyBorder="1"/>
    <xf numFmtId="176" fontId="36" fillId="0" borderId="17" xfId="52" applyNumberFormat="1" applyFont="1" applyBorder="1" applyAlignment="1">
      <alignment horizontal="right"/>
    </xf>
    <xf numFmtId="178" fontId="36" fillId="0" borderId="18" xfId="52" applyNumberFormat="1" applyFont="1" applyBorder="1"/>
    <xf numFmtId="0" fontId="36" fillId="0" borderId="19" xfId="0" applyFont="1" applyBorder="1"/>
    <xf numFmtId="179" fontId="36" fillId="0" borderId="19" xfId="52" applyNumberFormat="1" applyFont="1" applyBorder="1"/>
    <xf numFmtId="0" fontId="36" fillId="0" borderId="0" xfId="0" applyFont="1" applyBorder="1"/>
    <xf numFmtId="0" fontId="36" fillId="0" borderId="0" xfId="0" applyFont="1" applyFill="1" applyBorder="1"/>
    <xf numFmtId="0" fontId="36" fillId="0" borderId="20" xfId="0" applyFont="1" applyFill="1" applyBorder="1"/>
    <xf numFmtId="176" fontId="36" fillId="0" borderId="18" xfId="52" applyNumberFormat="1" applyFont="1" applyBorder="1" applyAlignment="1">
      <alignment horizontal="right"/>
    </xf>
    <xf numFmtId="176" fontId="36" fillId="0" borderId="19" xfId="52" applyNumberFormat="1" applyFont="1" applyBorder="1" applyAlignment="1">
      <alignment horizontal="right"/>
    </xf>
    <xf numFmtId="176" fontId="36" fillId="0" borderId="20" xfId="52" applyNumberFormat="1" applyFont="1" applyBorder="1" applyAlignment="1">
      <alignment horizontal="right"/>
    </xf>
    <xf numFmtId="176" fontId="36" fillId="0" borderId="18" xfId="52" applyNumberFormat="1" applyFont="1" applyBorder="1"/>
    <xf numFmtId="176" fontId="36" fillId="0" borderId="19" xfId="52" applyNumberFormat="1" applyFont="1" applyBorder="1"/>
    <xf numFmtId="176" fontId="36" fillId="0" borderId="0" xfId="52" applyNumberFormat="1" applyFont="1" applyBorder="1"/>
    <xf numFmtId="176" fontId="36" fillId="0" borderId="20" xfId="52" applyNumberFormat="1" applyFont="1" applyBorder="1"/>
    <xf numFmtId="179" fontId="36" fillId="0" borderId="19" xfId="52" applyNumberFormat="1" applyFont="1" applyFill="1" applyBorder="1"/>
    <xf numFmtId="180" fontId="36" fillId="0" borderId="18" xfId="52" applyNumberFormat="1" applyFont="1" applyFill="1" applyBorder="1"/>
    <xf numFmtId="176" fontId="36" fillId="0" borderId="22" xfId="52" applyNumberFormat="1" applyFont="1" applyBorder="1"/>
    <xf numFmtId="176" fontId="36" fillId="0" borderId="23" xfId="52" applyNumberFormat="1" applyFont="1" applyBorder="1"/>
    <xf numFmtId="179" fontId="36" fillId="0" borderId="23" xfId="52" applyNumberFormat="1" applyFont="1" applyBorder="1"/>
    <xf numFmtId="176" fontId="36" fillId="0" borderId="24" xfId="52" applyNumberFormat="1" applyFont="1" applyBorder="1"/>
    <xf numFmtId="180" fontId="36" fillId="0" borderId="22" xfId="52" applyNumberFormat="1" applyFont="1" applyBorder="1"/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18" xfId="0" applyFont="1" applyFill="1" applyBorder="1" applyAlignment="1">
      <alignment horizontal="left" vertical="center"/>
    </xf>
    <xf numFmtId="0" fontId="35" fillId="0" borderId="21" xfId="0" applyFont="1" applyBorder="1" applyAlignment="1">
      <alignment horizontal="left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36" fillId="0" borderId="18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0" fontId="35" fillId="0" borderId="0" xfId="0" applyFont="1" applyAlignment="1">
      <alignment horizontal="centerContinuous" vertical="center"/>
    </xf>
    <xf numFmtId="0" fontId="39" fillId="0" borderId="0" xfId="0" applyFont="1" applyAlignment="1">
      <alignment horizontal="centerContinuous" vertical="center"/>
    </xf>
    <xf numFmtId="0" fontId="35" fillId="0" borderId="0" xfId="0" applyFont="1" applyBorder="1"/>
    <xf numFmtId="0" fontId="35" fillId="0" borderId="18" xfId="0" applyFont="1" applyBorder="1"/>
    <xf numFmtId="0" fontId="35" fillId="0" borderId="0" xfId="0" applyFont="1" applyBorder="1" applyAlignment="1">
      <alignment horizontal="distributed" vertical="center"/>
    </xf>
    <xf numFmtId="0" fontId="35" fillId="0" borderId="0" xfId="0" applyFont="1" applyFill="1" applyBorder="1"/>
    <xf numFmtId="0" fontId="35" fillId="0" borderId="0" xfId="0" applyFont="1" applyAlignment="1">
      <alignment horizontal="left"/>
    </xf>
    <xf numFmtId="0" fontId="35" fillId="0" borderId="0" xfId="0" applyFont="1"/>
    <xf numFmtId="49" fontId="10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vertical="center"/>
    </xf>
    <xf numFmtId="49" fontId="10" fillId="0" borderId="15" xfId="0" applyNumberFormat="1" applyFont="1" applyBorder="1" applyAlignment="1">
      <alignment horizontal="right" vertical="center" wrapText="1"/>
    </xf>
    <xf numFmtId="49" fontId="35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76" fontId="35" fillId="0" borderId="14" xfId="52" applyNumberFormat="1" applyFont="1" applyBorder="1" applyAlignment="1">
      <alignment horizontal="right"/>
    </xf>
    <xf numFmtId="176" fontId="35" fillId="0" borderId="16" xfId="52" applyNumberFormat="1" applyFont="1" applyBorder="1" applyAlignment="1">
      <alignment horizontal="right"/>
    </xf>
    <xf numFmtId="179" fontId="35" fillId="0" borderId="16" xfId="52" applyNumberFormat="1" applyFont="1" applyBorder="1"/>
    <xf numFmtId="176" fontId="35" fillId="0" borderId="0" xfId="52" applyNumberFormat="1" applyFont="1" applyBorder="1" applyAlignment="1">
      <alignment horizontal="right"/>
    </xf>
    <xf numFmtId="180" fontId="35" fillId="0" borderId="18" xfId="52" applyNumberFormat="1" applyFont="1" applyBorder="1"/>
    <xf numFmtId="176" fontId="35" fillId="0" borderId="15" xfId="52" applyNumberFormat="1" applyFont="1" applyBorder="1"/>
    <xf numFmtId="180" fontId="35" fillId="0" borderId="14" xfId="52" applyNumberFormat="1" applyFont="1" applyBorder="1"/>
    <xf numFmtId="176" fontId="35" fillId="0" borderId="17" xfId="52" applyNumberFormat="1" applyFont="1" applyBorder="1" applyAlignment="1">
      <alignment horizontal="right"/>
    </xf>
    <xf numFmtId="178" fontId="35" fillId="0" borderId="18" xfId="52" applyNumberFormat="1" applyFont="1" applyBorder="1"/>
    <xf numFmtId="0" fontId="35" fillId="0" borderId="19" xfId="0" applyFont="1" applyBorder="1"/>
    <xf numFmtId="179" fontId="35" fillId="0" borderId="19" xfId="52" applyNumberFormat="1" applyFont="1" applyBorder="1"/>
    <xf numFmtId="0" fontId="35" fillId="0" borderId="20" xfId="0" applyFont="1" applyFill="1" applyBorder="1"/>
    <xf numFmtId="176" fontId="35" fillId="0" borderId="18" xfId="52" applyNumberFormat="1" applyFont="1" applyBorder="1" applyAlignment="1">
      <alignment horizontal="right"/>
    </xf>
    <xf numFmtId="176" fontId="35" fillId="0" borderId="19" xfId="52" applyNumberFormat="1" applyFont="1" applyBorder="1" applyAlignment="1">
      <alignment horizontal="right"/>
    </xf>
    <xf numFmtId="176" fontId="35" fillId="0" borderId="20" xfId="52" applyNumberFormat="1" applyFont="1" applyBorder="1" applyAlignment="1">
      <alignment horizontal="right"/>
    </xf>
    <xf numFmtId="176" fontId="35" fillId="0" borderId="18" xfId="52" applyNumberFormat="1" applyFont="1" applyBorder="1"/>
    <xf numFmtId="176" fontId="35" fillId="0" borderId="19" xfId="52" applyNumberFormat="1" applyFont="1" applyBorder="1"/>
    <xf numFmtId="176" fontId="35" fillId="0" borderId="0" xfId="52" applyNumberFormat="1" applyFont="1" applyBorder="1"/>
    <xf numFmtId="176" fontId="35" fillId="0" borderId="20" xfId="52" applyNumberFormat="1" applyFont="1" applyBorder="1"/>
    <xf numFmtId="179" fontId="35" fillId="0" borderId="19" xfId="52" applyNumberFormat="1" applyFont="1" applyFill="1" applyBorder="1"/>
    <xf numFmtId="180" fontId="35" fillId="0" borderId="18" xfId="52" applyNumberFormat="1" applyFont="1" applyFill="1" applyBorder="1"/>
    <xf numFmtId="176" fontId="35" fillId="0" borderId="22" xfId="52" applyNumberFormat="1" applyFont="1" applyBorder="1"/>
    <xf numFmtId="176" fontId="35" fillId="0" borderId="23" xfId="52" applyNumberFormat="1" applyFont="1" applyBorder="1"/>
    <xf numFmtId="179" fontId="35" fillId="0" borderId="23" xfId="52" applyNumberFormat="1" applyFont="1" applyBorder="1"/>
    <xf numFmtId="176" fontId="35" fillId="0" borderId="24" xfId="52" applyNumberFormat="1" applyFont="1" applyBorder="1"/>
    <xf numFmtId="180" fontId="35" fillId="0" borderId="22" xfId="52" applyNumberFormat="1" applyFont="1" applyBorder="1"/>
    <xf numFmtId="178" fontId="35" fillId="0" borderId="14" xfId="52" applyNumberFormat="1" applyFont="1" applyBorder="1"/>
    <xf numFmtId="178" fontId="35" fillId="0" borderId="18" xfId="52" applyNumberFormat="1" applyFont="1" applyFill="1" applyBorder="1"/>
    <xf numFmtId="178" fontId="35" fillId="0" borderId="22" xfId="52" applyNumberFormat="1" applyFont="1" applyBorder="1"/>
    <xf numFmtId="49" fontId="10" fillId="0" borderId="0" xfId="0" quotePrefix="1" applyNumberFormat="1" applyFont="1" applyBorder="1" applyAlignment="1">
      <alignment horizontal="right" vertical="center" wrapText="1"/>
    </xf>
    <xf numFmtId="49" fontId="10" fillId="0" borderId="0" xfId="0" quotePrefix="1" applyNumberFormat="1" applyFont="1" applyAlignment="1">
      <alignment horizontal="right" vertical="center" wrapText="1"/>
    </xf>
    <xf numFmtId="176" fontId="36" fillId="0" borderId="14" xfId="52" applyNumberFormat="1" applyFont="1" applyBorder="1"/>
    <xf numFmtId="176" fontId="36" fillId="0" borderId="16" xfId="52" applyNumberFormat="1" applyFont="1" applyBorder="1"/>
    <xf numFmtId="178" fontId="36" fillId="0" borderId="14" xfId="52" applyNumberFormat="1" applyFont="1" applyBorder="1"/>
    <xf numFmtId="176" fontId="36" fillId="0" borderId="17" xfId="52" applyNumberFormat="1" applyFont="1" applyBorder="1"/>
    <xf numFmtId="176" fontId="36" fillId="0" borderId="18" xfId="52" applyNumberFormat="1" applyFont="1" applyFill="1" applyBorder="1"/>
    <xf numFmtId="176" fontId="36" fillId="0" borderId="19" xfId="52" applyNumberFormat="1" applyFont="1" applyFill="1" applyBorder="1"/>
    <xf numFmtId="176" fontId="36" fillId="0" borderId="0" xfId="52" applyNumberFormat="1" applyFont="1" applyFill="1" applyBorder="1"/>
    <xf numFmtId="178" fontId="36" fillId="0" borderId="18" xfId="52" applyNumberFormat="1" applyFont="1" applyFill="1" applyBorder="1"/>
    <xf numFmtId="176" fontId="36" fillId="0" borderId="20" xfId="52" applyNumberFormat="1" applyFont="1" applyFill="1" applyBorder="1"/>
    <xf numFmtId="176" fontId="36" fillId="0" borderId="20" xfId="52" applyNumberFormat="1" applyFont="1" applyFill="1" applyBorder="1" applyAlignment="1">
      <alignment horizontal="right"/>
    </xf>
    <xf numFmtId="178" fontId="36" fillId="0" borderId="22" xfId="52" applyNumberFormat="1" applyFont="1" applyBorder="1"/>
    <xf numFmtId="0" fontId="37" fillId="0" borderId="0" xfId="0" applyFont="1" applyAlignment="1">
      <alignment vertical="center"/>
    </xf>
    <xf numFmtId="0" fontId="35" fillId="0" borderId="21" xfId="0" applyFont="1" applyFill="1" applyBorder="1" applyAlignment="1">
      <alignment horizontal="left"/>
    </xf>
    <xf numFmtId="176" fontId="36" fillId="0" borderId="14" xfId="52" applyNumberFormat="1" applyFont="1" applyBorder="1" applyAlignment="1">
      <alignment vertical="center"/>
    </xf>
    <xf numFmtId="176" fontId="36" fillId="0" borderId="15" xfId="52" applyNumberFormat="1" applyFont="1" applyBorder="1" applyAlignment="1">
      <alignment vertical="center"/>
    </xf>
    <xf numFmtId="179" fontId="36" fillId="0" borderId="16" xfId="52" applyNumberFormat="1" applyFont="1" applyBorder="1" applyAlignment="1">
      <alignment vertical="center"/>
    </xf>
    <xf numFmtId="176" fontId="36" fillId="0" borderId="17" xfId="52" applyNumberFormat="1" applyFont="1" applyBorder="1" applyAlignment="1">
      <alignment vertical="center"/>
    </xf>
    <xf numFmtId="178" fontId="36" fillId="0" borderId="14" xfId="52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178" fontId="36" fillId="0" borderId="18" xfId="52" applyNumberFormat="1" applyFont="1" applyBorder="1" applyAlignment="1">
      <alignment vertical="center"/>
    </xf>
    <xf numFmtId="179" fontId="36" fillId="0" borderId="19" xfId="52" applyNumberFormat="1" applyFont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176" fontId="36" fillId="0" borderId="18" xfId="52" applyNumberFormat="1" applyFont="1" applyBorder="1" applyAlignment="1">
      <alignment vertical="center"/>
    </xf>
    <xf numFmtId="176" fontId="36" fillId="0" borderId="0" xfId="52" applyNumberFormat="1" applyFont="1" applyBorder="1" applyAlignment="1">
      <alignment vertical="center"/>
    </xf>
    <xf numFmtId="176" fontId="36" fillId="0" borderId="20" xfId="52" applyNumberFormat="1" applyFont="1" applyBorder="1" applyAlignment="1">
      <alignment vertical="center"/>
    </xf>
    <xf numFmtId="176" fontId="36" fillId="0" borderId="0" xfId="52" applyNumberFormat="1" applyFont="1" applyBorder="1" applyAlignment="1">
      <alignment horizontal="right" vertical="center"/>
    </xf>
    <xf numFmtId="176" fontId="36" fillId="0" borderId="20" xfId="52" applyNumberFormat="1" applyFont="1" applyBorder="1" applyAlignment="1">
      <alignment horizontal="right" vertical="center"/>
    </xf>
    <xf numFmtId="176" fontId="36" fillId="0" borderId="22" xfId="52" applyNumberFormat="1" applyFont="1" applyBorder="1" applyAlignment="1">
      <alignment vertical="center"/>
    </xf>
    <xf numFmtId="176" fontId="36" fillId="0" borderId="24" xfId="52" applyNumberFormat="1" applyFont="1" applyBorder="1" applyAlignment="1">
      <alignment vertical="center"/>
    </xf>
    <xf numFmtId="179" fontId="36" fillId="0" borderId="23" xfId="52" applyNumberFormat="1" applyFont="1" applyBorder="1" applyAlignment="1">
      <alignment vertical="center"/>
    </xf>
    <xf numFmtId="178" fontId="36" fillId="0" borderId="22" xfId="52" applyNumberFormat="1" applyFont="1" applyBorder="1" applyAlignment="1">
      <alignment vertical="center"/>
    </xf>
    <xf numFmtId="176" fontId="36" fillId="0" borderId="21" xfId="52" applyNumberFormat="1" applyFont="1" applyBorder="1" applyAlignment="1">
      <alignment vertical="center"/>
    </xf>
    <xf numFmtId="178" fontId="36" fillId="0" borderId="15" xfId="52" applyNumberFormat="1" applyFont="1" applyBorder="1" applyAlignment="1">
      <alignment vertical="center"/>
    </xf>
    <xf numFmtId="176" fontId="36" fillId="0" borderId="16" xfId="52" applyNumberFormat="1" applyFont="1" applyBorder="1" applyAlignment="1">
      <alignment vertical="center"/>
    </xf>
    <xf numFmtId="178" fontId="36" fillId="0" borderId="0" xfId="52" applyNumberFormat="1" applyFont="1" applyBorder="1" applyAlignment="1">
      <alignment vertical="center"/>
    </xf>
    <xf numFmtId="0" fontId="35" fillId="0" borderId="19" xfId="0" applyFont="1" applyBorder="1" applyAlignment="1">
      <alignment vertical="center"/>
    </xf>
    <xf numFmtId="179" fontId="36" fillId="0" borderId="0" xfId="52" applyNumberFormat="1" applyFont="1" applyBorder="1" applyAlignment="1">
      <alignment vertical="center"/>
    </xf>
    <xf numFmtId="176" fontId="36" fillId="0" borderId="21" xfId="52" applyNumberFormat="1" applyFont="1" applyBorder="1"/>
    <xf numFmtId="0" fontId="34" fillId="0" borderId="0" xfId="0" applyFont="1" applyBorder="1" applyAlignment="1">
      <alignment horizontal="centerContinuous" vertical="center"/>
    </xf>
    <xf numFmtId="0" fontId="34" fillId="0" borderId="0" xfId="0" applyFont="1" applyAlignment="1">
      <alignment horizontal="centerContinuous" vertical="center"/>
    </xf>
    <xf numFmtId="49" fontId="35" fillId="0" borderId="0" xfId="0" applyNumberFormat="1" applyFont="1" applyBorder="1" applyAlignment="1">
      <alignment horizontal="right"/>
    </xf>
    <xf numFmtId="0" fontId="33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distributed" vertical="center"/>
    </xf>
    <xf numFmtId="0" fontId="35" fillId="0" borderId="14" xfId="0" applyFont="1" applyBorder="1" applyAlignment="1">
      <alignment horizontal="distributed" vertical="center"/>
    </xf>
    <xf numFmtId="0" fontId="36" fillId="0" borderId="0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1"/>
    <cellStyle name="標準 3" xfId="62"/>
    <cellStyle name="標準 4" xfId="63"/>
    <cellStyle name="標準 5" xfId="64"/>
    <cellStyle name="良い" xfId="6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L47"/>
  <sheetViews>
    <sheetView tabSelected="1" zoomScaleNormal="100" zoomScaleSheetLayoutView="100" workbookViewId="0">
      <pane ySplit="8" topLeftCell="A9" activePane="bottomLeft" state="frozen"/>
      <selection pane="bottomLeft"/>
    </sheetView>
  </sheetViews>
  <sheetFormatPr defaultColWidth="9" defaultRowHeight="13.75" customHeight="1"/>
  <cols>
    <col min="1" max="1" width="3.625" style="1" customWidth="1"/>
    <col min="2" max="2" width="6.375" style="1" bestFit="1" customWidth="1"/>
    <col min="3" max="3" width="38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1" spans="2:12" ht="14.95" customHeight="1"/>
    <row r="2" spans="2:12" ht="20.05" customHeight="1">
      <c r="B2" s="140" t="s">
        <v>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3.75" customHeight="1">
      <c r="B3" s="48"/>
      <c r="C3" s="2"/>
      <c r="D3" s="49"/>
      <c r="E3" s="48"/>
      <c r="F3" s="48"/>
      <c r="G3" s="48"/>
      <c r="H3" s="48"/>
      <c r="I3" s="48"/>
      <c r="J3" s="48"/>
      <c r="K3" s="48"/>
      <c r="L3" s="50"/>
    </row>
    <row r="4" spans="2:12" ht="13.75" customHeight="1" thickBot="1">
      <c r="B4" s="3"/>
      <c r="C4" s="3"/>
      <c r="D4" s="3"/>
      <c r="E4" s="3"/>
      <c r="F4" s="3"/>
      <c r="G4" s="4"/>
      <c r="H4" s="4"/>
      <c r="I4" s="4"/>
      <c r="J4" s="4"/>
      <c r="K4" s="5"/>
      <c r="L4" s="139" t="s">
        <v>0</v>
      </c>
    </row>
    <row r="5" spans="2:12" ht="13.75" customHeight="1" thickTop="1">
      <c r="B5" s="144" t="s">
        <v>2</v>
      </c>
      <c r="C5" s="145"/>
      <c r="D5" s="150" t="s">
        <v>3</v>
      </c>
      <c r="E5" s="150" t="s">
        <v>4</v>
      </c>
      <c r="F5" s="150" t="s">
        <v>9</v>
      </c>
      <c r="G5" s="153" t="s">
        <v>5</v>
      </c>
      <c r="H5" s="154"/>
      <c r="I5" s="154"/>
      <c r="J5" s="154"/>
      <c r="K5" s="154"/>
      <c r="L5" s="154"/>
    </row>
    <row r="6" spans="2:12" ht="13.75" customHeight="1">
      <c r="B6" s="146"/>
      <c r="C6" s="147"/>
      <c r="D6" s="151"/>
      <c r="E6" s="151"/>
      <c r="F6" s="151"/>
      <c r="G6" s="155" t="s">
        <v>6</v>
      </c>
      <c r="H6" s="155"/>
      <c r="I6" s="2"/>
      <c r="J6" s="158" t="s">
        <v>7</v>
      </c>
      <c r="K6" s="159"/>
      <c r="L6" s="158" t="s">
        <v>10</v>
      </c>
    </row>
    <row r="7" spans="2:12" ht="13.75" customHeight="1">
      <c r="B7" s="146"/>
      <c r="C7" s="147"/>
      <c r="D7" s="151"/>
      <c r="E7" s="151"/>
      <c r="F7" s="151"/>
      <c r="G7" s="156"/>
      <c r="H7" s="156"/>
      <c r="I7" s="164" t="s">
        <v>8</v>
      </c>
      <c r="J7" s="160"/>
      <c r="K7" s="161"/>
      <c r="L7" s="160"/>
    </row>
    <row r="8" spans="2:12" ht="13.75" customHeight="1">
      <c r="B8" s="148"/>
      <c r="C8" s="149"/>
      <c r="D8" s="152"/>
      <c r="E8" s="152"/>
      <c r="F8" s="152"/>
      <c r="G8" s="157"/>
      <c r="H8" s="157"/>
      <c r="I8" s="165"/>
      <c r="J8" s="162"/>
      <c r="K8" s="163"/>
      <c r="L8" s="162"/>
    </row>
    <row r="9" spans="2:12" ht="13.75" customHeight="1">
      <c r="B9" s="166" t="s">
        <v>11</v>
      </c>
      <c r="C9" s="167"/>
      <c r="D9" s="6">
        <v>126074</v>
      </c>
      <c r="E9" s="7">
        <v>62177</v>
      </c>
      <c r="F9" s="8">
        <v>49.317860938813709</v>
      </c>
      <c r="G9" s="9">
        <v>7934</v>
      </c>
      <c r="H9" s="10">
        <v>12.760345465365006</v>
      </c>
      <c r="I9" s="7">
        <v>1303</v>
      </c>
      <c r="J9" s="11">
        <v>827</v>
      </c>
      <c r="K9" s="12">
        <v>1.3300738215095615</v>
      </c>
      <c r="L9" s="13">
        <v>152</v>
      </c>
    </row>
    <row r="10" spans="2:12" ht="13.75" customHeight="1">
      <c r="B10" s="51"/>
      <c r="C10" s="52"/>
      <c r="D10" s="14"/>
      <c r="E10" s="15"/>
      <c r="F10" s="16"/>
      <c r="G10" s="17"/>
      <c r="H10" s="10"/>
      <c r="I10" s="15"/>
      <c r="J10" s="18"/>
      <c r="K10" s="10"/>
      <c r="L10" s="19"/>
    </row>
    <row r="11" spans="2:12" ht="13.75" customHeight="1">
      <c r="B11" s="168" t="s">
        <v>12</v>
      </c>
      <c r="C11" s="169"/>
      <c r="D11" s="20">
        <v>78757</v>
      </c>
      <c r="E11" s="21">
        <v>40252</v>
      </c>
      <c r="F11" s="16">
        <v>51.109107761849735</v>
      </c>
      <c r="G11" s="9">
        <v>5614</v>
      </c>
      <c r="H11" s="10">
        <v>13.94713306171122</v>
      </c>
      <c r="I11" s="9">
        <v>966</v>
      </c>
      <c r="J11" s="22">
        <v>627</v>
      </c>
      <c r="K11" s="10">
        <v>1.5576865745801451</v>
      </c>
      <c r="L11" s="22">
        <v>103</v>
      </c>
    </row>
    <row r="12" spans="2:12" ht="13.75" customHeight="1">
      <c r="B12" s="35"/>
      <c r="C12" s="43" t="s">
        <v>13</v>
      </c>
      <c r="D12" s="20">
        <v>341</v>
      </c>
      <c r="E12" s="21">
        <v>98</v>
      </c>
      <c r="F12" s="16">
        <v>28.739002932551323</v>
      </c>
      <c r="G12" s="9">
        <v>5</v>
      </c>
      <c r="H12" s="10">
        <v>5.1020408163265305</v>
      </c>
      <c r="I12" s="9">
        <v>1</v>
      </c>
      <c r="J12" s="22">
        <v>1</v>
      </c>
      <c r="K12" s="10">
        <v>1.0204081632653061</v>
      </c>
      <c r="L12" s="22">
        <v>0</v>
      </c>
    </row>
    <row r="13" spans="2:12" ht="13.75" customHeight="1">
      <c r="B13" s="35"/>
      <c r="C13" s="43" t="s">
        <v>14</v>
      </c>
      <c r="D13" s="20">
        <v>1241</v>
      </c>
      <c r="E13" s="21">
        <v>529</v>
      </c>
      <c r="F13" s="16">
        <v>42.626913779210312</v>
      </c>
      <c r="G13" s="9">
        <v>64</v>
      </c>
      <c r="H13" s="10">
        <v>12.098298676748582</v>
      </c>
      <c r="I13" s="9">
        <v>15</v>
      </c>
      <c r="J13" s="22">
        <v>17</v>
      </c>
      <c r="K13" s="10">
        <v>3.2136105860113422</v>
      </c>
      <c r="L13" s="22">
        <v>1</v>
      </c>
    </row>
    <row r="14" spans="2:12" ht="13.75" customHeight="1">
      <c r="B14" s="35"/>
      <c r="C14" s="43" t="s">
        <v>15</v>
      </c>
      <c r="D14" s="20">
        <v>9175</v>
      </c>
      <c r="E14" s="21">
        <v>4176</v>
      </c>
      <c r="F14" s="16">
        <v>45.514986376021795</v>
      </c>
      <c r="G14" s="9">
        <v>372</v>
      </c>
      <c r="H14" s="10">
        <v>8.9080459770114953</v>
      </c>
      <c r="I14" s="9">
        <v>71</v>
      </c>
      <c r="J14" s="22">
        <v>23</v>
      </c>
      <c r="K14" s="10">
        <v>0.5507662835249042</v>
      </c>
      <c r="L14" s="22">
        <v>7</v>
      </c>
    </row>
    <row r="15" spans="2:12" ht="13.75" customHeight="1">
      <c r="B15" s="35"/>
      <c r="C15" s="43" t="s">
        <v>16</v>
      </c>
      <c r="D15" s="20">
        <v>4364</v>
      </c>
      <c r="E15" s="21">
        <v>2056</v>
      </c>
      <c r="F15" s="16">
        <v>47.112740604949586</v>
      </c>
      <c r="G15" s="9">
        <v>167</v>
      </c>
      <c r="H15" s="10">
        <v>8.1225680933852153</v>
      </c>
      <c r="I15" s="9">
        <v>25</v>
      </c>
      <c r="J15" s="22">
        <v>7</v>
      </c>
      <c r="K15" s="10">
        <v>0.34046692607003892</v>
      </c>
      <c r="L15" s="22">
        <v>0</v>
      </c>
    </row>
    <row r="16" spans="2:12" ht="13.75" customHeight="1">
      <c r="B16" s="35"/>
      <c r="C16" s="43" t="s">
        <v>17</v>
      </c>
      <c r="D16" s="20">
        <v>868</v>
      </c>
      <c r="E16" s="21">
        <v>437</v>
      </c>
      <c r="F16" s="16">
        <v>50.345622119815673</v>
      </c>
      <c r="G16" s="9">
        <v>63</v>
      </c>
      <c r="H16" s="10">
        <v>14.416475972540045</v>
      </c>
      <c r="I16" s="9">
        <v>5</v>
      </c>
      <c r="J16" s="22">
        <v>4</v>
      </c>
      <c r="K16" s="10">
        <v>0.91533180778032031</v>
      </c>
      <c r="L16" s="22">
        <v>2</v>
      </c>
    </row>
    <row r="17" spans="2:12" ht="13.75" customHeight="1">
      <c r="B17" s="35"/>
      <c r="C17" s="43" t="s">
        <v>18</v>
      </c>
      <c r="D17" s="20">
        <v>35273</v>
      </c>
      <c r="E17" s="21">
        <v>20996</v>
      </c>
      <c r="F17" s="16">
        <v>59.524282028747201</v>
      </c>
      <c r="G17" s="9">
        <v>3535</v>
      </c>
      <c r="H17" s="10">
        <v>16.836540293389216</v>
      </c>
      <c r="I17" s="9">
        <v>585</v>
      </c>
      <c r="J17" s="22">
        <v>420</v>
      </c>
      <c r="K17" s="10">
        <v>2.0003810249571345</v>
      </c>
      <c r="L17" s="22">
        <v>73</v>
      </c>
    </row>
    <row r="18" spans="2:12" ht="13.75" customHeight="1">
      <c r="B18" s="35"/>
      <c r="C18" s="43" t="s">
        <v>19</v>
      </c>
      <c r="D18" s="20">
        <v>8959</v>
      </c>
      <c r="E18" s="21">
        <v>3985</v>
      </c>
      <c r="F18" s="16">
        <v>44.48041076012948</v>
      </c>
      <c r="G18" s="9">
        <v>533</v>
      </c>
      <c r="H18" s="10">
        <v>13.375156838143036</v>
      </c>
      <c r="I18" s="9">
        <v>86</v>
      </c>
      <c r="J18" s="22">
        <v>74</v>
      </c>
      <c r="K18" s="10">
        <v>1.8569636135508154</v>
      </c>
      <c r="L18" s="22">
        <v>6</v>
      </c>
    </row>
    <row r="19" spans="2:12" ht="13.75" customHeight="1">
      <c r="B19" s="35"/>
      <c r="C19" s="43" t="s">
        <v>20</v>
      </c>
      <c r="D19" s="20">
        <v>989</v>
      </c>
      <c r="E19" s="21">
        <v>529</v>
      </c>
      <c r="F19" s="16">
        <v>53.488372093023251</v>
      </c>
      <c r="G19" s="9">
        <v>86</v>
      </c>
      <c r="H19" s="10">
        <v>16.257088846880908</v>
      </c>
      <c r="I19" s="9">
        <v>25</v>
      </c>
      <c r="J19" s="22">
        <v>16</v>
      </c>
      <c r="K19" s="10">
        <v>3.0245746691871456</v>
      </c>
      <c r="L19" s="22">
        <v>0</v>
      </c>
    </row>
    <row r="20" spans="2:12" ht="13.75" customHeight="1">
      <c r="B20" s="35"/>
      <c r="C20" s="43" t="s">
        <v>21</v>
      </c>
      <c r="D20" s="20">
        <v>1729</v>
      </c>
      <c r="E20" s="21">
        <v>824</v>
      </c>
      <c r="F20" s="16">
        <v>47.657605552342396</v>
      </c>
      <c r="G20" s="9">
        <v>138</v>
      </c>
      <c r="H20" s="10">
        <v>16.747572815533982</v>
      </c>
      <c r="I20" s="9">
        <v>13</v>
      </c>
      <c r="J20" s="22">
        <v>8</v>
      </c>
      <c r="K20" s="10">
        <v>0.970873786407767</v>
      </c>
      <c r="L20" s="22">
        <v>1</v>
      </c>
    </row>
    <row r="21" spans="2:12" ht="13.75" customHeight="1">
      <c r="B21" s="35"/>
      <c r="C21" s="43" t="s">
        <v>22</v>
      </c>
      <c r="D21" s="20">
        <v>531</v>
      </c>
      <c r="E21" s="21">
        <v>185</v>
      </c>
      <c r="F21" s="16">
        <v>34.839924670433149</v>
      </c>
      <c r="G21" s="9">
        <v>14</v>
      </c>
      <c r="H21" s="10">
        <v>7.5675675675675675</v>
      </c>
      <c r="I21" s="9">
        <v>5</v>
      </c>
      <c r="J21" s="22">
        <v>2</v>
      </c>
      <c r="K21" s="10">
        <v>1.0810810810810809</v>
      </c>
      <c r="L21" s="22">
        <v>0</v>
      </c>
    </row>
    <row r="22" spans="2:12" ht="13.75" customHeight="1">
      <c r="B22" s="35"/>
      <c r="C22" s="43" t="s">
        <v>23</v>
      </c>
      <c r="D22" s="20">
        <v>1529</v>
      </c>
      <c r="E22" s="21">
        <v>528</v>
      </c>
      <c r="F22" s="16">
        <v>34.532374100719423</v>
      </c>
      <c r="G22" s="9">
        <v>55</v>
      </c>
      <c r="H22" s="10">
        <v>10.416666666666666</v>
      </c>
      <c r="I22" s="9">
        <v>19</v>
      </c>
      <c r="J22" s="22">
        <v>8</v>
      </c>
      <c r="K22" s="10">
        <v>1.5151515151515151</v>
      </c>
      <c r="L22" s="22">
        <v>2</v>
      </c>
    </row>
    <row r="23" spans="2:12" ht="13.75" customHeight="1">
      <c r="B23" s="35"/>
      <c r="C23" s="43" t="s">
        <v>24</v>
      </c>
      <c r="D23" s="20">
        <v>340</v>
      </c>
      <c r="E23" s="21">
        <v>121</v>
      </c>
      <c r="F23" s="16">
        <v>35.588235294117645</v>
      </c>
      <c r="G23" s="9">
        <v>10</v>
      </c>
      <c r="H23" s="10">
        <v>8.2644628099173563</v>
      </c>
      <c r="I23" s="9">
        <v>4</v>
      </c>
      <c r="J23" s="22">
        <v>3</v>
      </c>
      <c r="K23" s="10">
        <v>2.4793388429752068</v>
      </c>
      <c r="L23" s="22">
        <v>0</v>
      </c>
    </row>
    <row r="24" spans="2:12" ht="13.75" customHeight="1">
      <c r="B24" s="35"/>
      <c r="C24" s="43" t="s">
        <v>25</v>
      </c>
      <c r="D24" s="20">
        <v>76</v>
      </c>
      <c r="E24" s="21">
        <v>14</v>
      </c>
      <c r="F24" s="16">
        <v>18.421052631578945</v>
      </c>
      <c r="G24" s="9">
        <v>0</v>
      </c>
      <c r="H24" s="10">
        <v>0</v>
      </c>
      <c r="I24" s="9">
        <v>0</v>
      </c>
      <c r="J24" s="22">
        <v>0</v>
      </c>
      <c r="K24" s="10">
        <v>0</v>
      </c>
      <c r="L24" s="22">
        <v>0</v>
      </c>
    </row>
    <row r="25" spans="2:12" ht="13.75" customHeight="1">
      <c r="B25" s="35"/>
      <c r="C25" s="43" t="s">
        <v>26</v>
      </c>
      <c r="D25" s="20">
        <v>2521</v>
      </c>
      <c r="E25" s="21">
        <v>1162</v>
      </c>
      <c r="F25" s="16">
        <v>46.092820309401034</v>
      </c>
      <c r="G25" s="9">
        <v>155</v>
      </c>
      <c r="H25" s="10">
        <v>13.339070567986232</v>
      </c>
      <c r="I25" s="9">
        <v>34</v>
      </c>
      <c r="J25" s="22">
        <v>18</v>
      </c>
      <c r="K25" s="10">
        <v>1.5490533562822721</v>
      </c>
      <c r="L25" s="22">
        <v>1</v>
      </c>
    </row>
    <row r="26" spans="2:12" ht="13.75" customHeight="1">
      <c r="B26" s="35"/>
      <c r="C26" s="43" t="s">
        <v>27</v>
      </c>
      <c r="D26" s="20">
        <v>803</v>
      </c>
      <c r="E26" s="21">
        <v>514</v>
      </c>
      <c r="F26" s="16">
        <v>64.00996264009963</v>
      </c>
      <c r="G26" s="9">
        <v>46</v>
      </c>
      <c r="H26" s="10">
        <v>8.9494163424124515</v>
      </c>
      <c r="I26" s="9">
        <v>5</v>
      </c>
      <c r="J26" s="22">
        <v>0</v>
      </c>
      <c r="K26" s="10">
        <v>0</v>
      </c>
      <c r="L26" s="22">
        <v>1</v>
      </c>
    </row>
    <row r="27" spans="2:12" ht="13.75" customHeight="1">
      <c r="B27" s="34"/>
      <c r="C27" s="44" t="s">
        <v>83</v>
      </c>
      <c r="D27" s="23">
        <v>10018</v>
      </c>
      <c r="E27" s="24">
        <v>4098</v>
      </c>
      <c r="F27" s="16">
        <v>40.906368536634055</v>
      </c>
      <c r="G27" s="25">
        <v>371</v>
      </c>
      <c r="H27" s="10">
        <v>9.0531966813079556</v>
      </c>
      <c r="I27" s="23">
        <v>73</v>
      </c>
      <c r="J27" s="22">
        <v>26</v>
      </c>
      <c r="K27" s="10">
        <v>0.63445583211322598</v>
      </c>
      <c r="L27" s="26">
        <v>9</v>
      </c>
    </row>
    <row r="28" spans="2:12" ht="13.75" customHeight="1">
      <c r="B28" s="34"/>
      <c r="C28" s="44"/>
      <c r="D28" s="23"/>
      <c r="E28" s="24"/>
      <c r="F28" s="16"/>
      <c r="G28" s="25"/>
      <c r="H28" s="10"/>
      <c r="I28" s="25"/>
      <c r="J28" s="26"/>
      <c r="K28" s="10"/>
      <c r="L28" s="26"/>
    </row>
    <row r="29" spans="2:12" ht="30.25" customHeight="1">
      <c r="B29" s="170" t="s">
        <v>85</v>
      </c>
      <c r="C29" s="171"/>
      <c r="D29" s="20">
        <v>47317</v>
      </c>
      <c r="E29" s="21">
        <v>21925</v>
      </c>
      <c r="F29" s="16">
        <v>46.336411860430708</v>
      </c>
      <c r="G29" s="9">
        <v>2320</v>
      </c>
      <c r="H29" s="10">
        <v>10.581527936145951</v>
      </c>
      <c r="I29" s="9">
        <v>337</v>
      </c>
      <c r="J29" s="22">
        <v>200</v>
      </c>
      <c r="K29" s="10">
        <v>0.91220068415051314</v>
      </c>
      <c r="L29" s="22">
        <v>49</v>
      </c>
    </row>
    <row r="30" spans="2:12" ht="13.75" customHeight="1">
      <c r="B30" s="34"/>
      <c r="C30" s="44" t="s">
        <v>30</v>
      </c>
      <c r="D30" s="20">
        <v>209</v>
      </c>
      <c r="E30" s="21">
        <v>36</v>
      </c>
      <c r="F30" s="16">
        <v>17.224880382775119</v>
      </c>
      <c r="G30" s="9">
        <v>1</v>
      </c>
      <c r="H30" s="10">
        <v>2.7777777777777777</v>
      </c>
      <c r="I30" s="9">
        <v>1</v>
      </c>
      <c r="J30" s="22">
        <v>0</v>
      </c>
      <c r="K30" s="10">
        <v>0</v>
      </c>
      <c r="L30" s="22">
        <v>0</v>
      </c>
    </row>
    <row r="31" spans="2:12" ht="13.75" customHeight="1">
      <c r="B31" s="36"/>
      <c r="C31" s="37" t="s">
        <v>31</v>
      </c>
      <c r="D31" s="20">
        <v>1364</v>
      </c>
      <c r="E31" s="21">
        <v>437</v>
      </c>
      <c r="F31" s="27">
        <v>32.038123167155426</v>
      </c>
      <c r="G31" s="9">
        <v>21</v>
      </c>
      <c r="H31" s="28">
        <v>4.805491990846682</v>
      </c>
      <c r="I31" s="9">
        <v>7</v>
      </c>
      <c r="J31" s="22">
        <v>1</v>
      </c>
      <c r="K31" s="28">
        <v>0.22883295194508008</v>
      </c>
      <c r="L31" s="22">
        <v>0</v>
      </c>
    </row>
    <row r="32" spans="2:12" ht="13.75" customHeight="1">
      <c r="B32" s="36"/>
      <c r="C32" s="37" t="s">
        <v>32</v>
      </c>
      <c r="D32" s="20">
        <v>1738</v>
      </c>
      <c r="E32" s="21">
        <v>587</v>
      </c>
      <c r="F32" s="27">
        <v>33.774453394706562</v>
      </c>
      <c r="G32" s="9">
        <v>31</v>
      </c>
      <c r="H32" s="28">
        <v>5.2810902896081773</v>
      </c>
      <c r="I32" s="9">
        <v>4</v>
      </c>
      <c r="J32" s="22">
        <v>0</v>
      </c>
      <c r="K32" s="10">
        <v>0</v>
      </c>
      <c r="L32" s="22">
        <v>0</v>
      </c>
    </row>
    <row r="33" spans="2:12" ht="14.3">
      <c r="B33" s="36"/>
      <c r="C33" s="40" t="s">
        <v>47</v>
      </c>
      <c r="D33" s="20">
        <v>1676</v>
      </c>
      <c r="E33" s="21">
        <v>805</v>
      </c>
      <c r="F33" s="27">
        <v>48.031026252983295</v>
      </c>
      <c r="G33" s="9">
        <v>55</v>
      </c>
      <c r="H33" s="28">
        <v>6.8322981366459619</v>
      </c>
      <c r="I33" s="9">
        <v>14</v>
      </c>
      <c r="J33" s="22">
        <v>1</v>
      </c>
      <c r="K33" s="28">
        <v>0.12422360248447203</v>
      </c>
      <c r="L33" s="22">
        <v>2</v>
      </c>
    </row>
    <row r="34" spans="2:12" ht="13.75" customHeight="1">
      <c r="B34" s="36"/>
      <c r="C34" s="37" t="s">
        <v>33</v>
      </c>
      <c r="D34" s="20">
        <v>512</v>
      </c>
      <c r="E34" s="21">
        <v>188</v>
      </c>
      <c r="F34" s="27">
        <v>36.71875</v>
      </c>
      <c r="G34" s="9">
        <v>14</v>
      </c>
      <c r="H34" s="28">
        <v>7.4468085106382986</v>
      </c>
      <c r="I34" s="9">
        <v>0</v>
      </c>
      <c r="J34" s="22">
        <v>2</v>
      </c>
      <c r="K34" s="10">
        <v>1.0638297872340425</v>
      </c>
      <c r="L34" s="22">
        <v>0</v>
      </c>
    </row>
    <row r="35" spans="2:12" ht="13.75" customHeight="1">
      <c r="B35" s="36"/>
      <c r="C35" s="37" t="s">
        <v>34</v>
      </c>
      <c r="D35" s="20">
        <v>307</v>
      </c>
      <c r="E35" s="21">
        <v>88</v>
      </c>
      <c r="F35" s="27">
        <v>28.664495114006517</v>
      </c>
      <c r="G35" s="9">
        <v>17</v>
      </c>
      <c r="H35" s="28">
        <v>19.318181818181817</v>
      </c>
      <c r="I35" s="9">
        <v>3</v>
      </c>
      <c r="J35" s="22">
        <v>0</v>
      </c>
      <c r="K35" s="28">
        <v>0</v>
      </c>
      <c r="L35" s="22">
        <v>0</v>
      </c>
    </row>
    <row r="36" spans="2:12" ht="13.75" customHeight="1">
      <c r="B36" s="34"/>
      <c r="C36" s="44" t="s">
        <v>35</v>
      </c>
      <c r="D36" s="20">
        <v>14178</v>
      </c>
      <c r="E36" s="21">
        <v>10487</v>
      </c>
      <c r="F36" s="16">
        <v>73.966708985752575</v>
      </c>
      <c r="G36" s="9">
        <v>1506</v>
      </c>
      <c r="H36" s="10">
        <v>14.360636979117002</v>
      </c>
      <c r="I36" s="9">
        <v>201</v>
      </c>
      <c r="J36" s="22">
        <v>163</v>
      </c>
      <c r="K36" s="10">
        <v>1.5543053304090779</v>
      </c>
      <c r="L36" s="22">
        <v>32</v>
      </c>
    </row>
    <row r="37" spans="2:12" ht="13.75" customHeight="1">
      <c r="B37" s="36"/>
      <c r="C37" s="37" t="s">
        <v>36</v>
      </c>
      <c r="D37" s="20">
        <v>1185</v>
      </c>
      <c r="E37" s="21">
        <v>446</v>
      </c>
      <c r="F37" s="27">
        <v>37.637130801687761</v>
      </c>
      <c r="G37" s="9">
        <v>73</v>
      </c>
      <c r="H37" s="28">
        <v>16.367713004484305</v>
      </c>
      <c r="I37" s="9">
        <v>3</v>
      </c>
      <c r="J37" s="22">
        <v>4</v>
      </c>
      <c r="K37" s="28">
        <v>0.89686098654708524</v>
      </c>
      <c r="L37" s="22">
        <v>2</v>
      </c>
    </row>
    <row r="38" spans="2:12" ht="14.3">
      <c r="B38" s="36"/>
      <c r="C38" s="40" t="s">
        <v>48</v>
      </c>
      <c r="D38" s="20">
        <v>496</v>
      </c>
      <c r="E38" s="21">
        <v>284</v>
      </c>
      <c r="F38" s="27">
        <v>57.258064516129039</v>
      </c>
      <c r="G38" s="9">
        <v>38</v>
      </c>
      <c r="H38" s="28">
        <v>13.380281690140846</v>
      </c>
      <c r="I38" s="9">
        <v>2</v>
      </c>
      <c r="J38" s="22">
        <v>1</v>
      </c>
      <c r="K38" s="28">
        <v>0.35211267605633806</v>
      </c>
      <c r="L38" s="22">
        <v>1</v>
      </c>
    </row>
    <row r="39" spans="2:12" ht="14.3">
      <c r="B39" s="34"/>
      <c r="C39" s="41" t="s">
        <v>49</v>
      </c>
      <c r="D39" s="20">
        <v>399</v>
      </c>
      <c r="E39" s="21">
        <v>312</v>
      </c>
      <c r="F39" s="16">
        <v>78.195488721804509</v>
      </c>
      <c r="G39" s="9">
        <v>48</v>
      </c>
      <c r="H39" s="10">
        <v>15.384615384615383</v>
      </c>
      <c r="I39" s="9">
        <v>16</v>
      </c>
      <c r="J39" s="22">
        <v>2</v>
      </c>
      <c r="K39" s="10">
        <v>0.64102564102564097</v>
      </c>
      <c r="L39" s="22">
        <v>0</v>
      </c>
    </row>
    <row r="40" spans="2:12" ht="13.75" customHeight="1">
      <c r="B40" s="36"/>
      <c r="C40" s="37" t="s">
        <v>37</v>
      </c>
      <c r="D40" s="20">
        <v>84</v>
      </c>
      <c r="E40" s="21">
        <v>21</v>
      </c>
      <c r="F40" s="27">
        <v>25</v>
      </c>
      <c r="G40" s="9">
        <v>1</v>
      </c>
      <c r="H40" s="28">
        <v>4.7619047619047619</v>
      </c>
      <c r="I40" s="9">
        <v>0</v>
      </c>
      <c r="J40" s="22">
        <v>0</v>
      </c>
      <c r="K40" s="28">
        <v>0</v>
      </c>
      <c r="L40" s="22">
        <v>0</v>
      </c>
    </row>
    <row r="41" spans="2:12" ht="13.75" customHeight="1">
      <c r="B41" s="38"/>
      <c r="C41" s="39" t="s">
        <v>83</v>
      </c>
      <c r="D41" s="29">
        <v>25169</v>
      </c>
      <c r="E41" s="30">
        <v>8234</v>
      </c>
      <c r="F41" s="31">
        <v>32.714847630021062</v>
      </c>
      <c r="G41" s="32">
        <v>515</v>
      </c>
      <c r="H41" s="33">
        <v>6.254554287102259</v>
      </c>
      <c r="I41" s="29">
        <v>86</v>
      </c>
      <c r="J41" s="32">
        <v>26</v>
      </c>
      <c r="K41" s="33">
        <v>0.31576390575661889</v>
      </c>
      <c r="L41" s="32">
        <v>12</v>
      </c>
    </row>
    <row r="42" spans="2:12" s="58" customFormat="1" ht="14.3">
      <c r="B42" s="59" t="s">
        <v>38</v>
      </c>
      <c r="C42" s="142" t="s">
        <v>86</v>
      </c>
      <c r="D42" s="142"/>
      <c r="E42" s="142"/>
      <c r="F42" s="142"/>
      <c r="G42" s="142"/>
      <c r="H42" s="142"/>
      <c r="I42" s="142"/>
      <c r="J42" s="142"/>
      <c r="K42" s="142"/>
      <c r="L42" s="142"/>
    </row>
    <row r="43" spans="2:12" s="58" customFormat="1" ht="14.3">
      <c r="B43" s="61"/>
      <c r="C43" s="141" t="s">
        <v>88</v>
      </c>
      <c r="D43" s="141"/>
      <c r="E43" s="141"/>
      <c r="F43" s="141"/>
      <c r="G43" s="141"/>
      <c r="H43" s="141"/>
      <c r="I43" s="141"/>
      <c r="J43" s="141"/>
      <c r="K43" s="141"/>
      <c r="L43" s="141"/>
    </row>
    <row r="44" spans="2:12" s="58" customFormat="1" ht="13.75" customHeight="1">
      <c r="B44" s="57" t="s">
        <v>39</v>
      </c>
      <c r="C44" s="143" t="s">
        <v>87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57" t="s">
        <v>41</v>
      </c>
      <c r="C45" s="143" t="s">
        <v>84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s="58" customFormat="1" ht="13.75" customHeight="1">
      <c r="B46" s="57" t="s">
        <v>43</v>
      </c>
      <c r="C46" s="143" t="s">
        <v>44</v>
      </c>
      <c r="D46" s="143"/>
      <c r="E46" s="143"/>
      <c r="F46" s="143"/>
      <c r="G46" s="143"/>
      <c r="H46" s="143"/>
      <c r="I46" s="143"/>
      <c r="J46" s="143"/>
      <c r="K46" s="143"/>
      <c r="L46" s="143"/>
    </row>
    <row r="47" spans="2:12" s="58" customFormat="1" ht="13.75" customHeight="1">
      <c r="B47" s="57" t="s">
        <v>45</v>
      </c>
      <c r="C47" s="143" t="s">
        <v>46</v>
      </c>
      <c r="D47" s="143"/>
      <c r="E47" s="143"/>
      <c r="F47" s="143"/>
      <c r="G47" s="143"/>
      <c r="H47" s="143"/>
      <c r="I47" s="143"/>
      <c r="J47" s="143"/>
      <c r="K47" s="143"/>
      <c r="L47" s="143"/>
    </row>
  </sheetData>
  <mergeCells count="19">
    <mergeCell ref="C45:L45"/>
    <mergeCell ref="C46:L46"/>
    <mergeCell ref="C47:L47"/>
    <mergeCell ref="B2:L2"/>
    <mergeCell ref="C43:L43"/>
    <mergeCell ref="C42:L42"/>
    <mergeCell ref="C44:L44"/>
    <mergeCell ref="B5:C8"/>
    <mergeCell ref="D5:D8"/>
    <mergeCell ref="E5:E8"/>
    <mergeCell ref="F5:F8"/>
    <mergeCell ref="G5:L5"/>
    <mergeCell ref="G6:H8"/>
    <mergeCell ref="J6:K8"/>
    <mergeCell ref="L6:L8"/>
    <mergeCell ref="I7:I8"/>
    <mergeCell ref="B9:C9"/>
    <mergeCell ref="B11:C11"/>
    <mergeCell ref="B29:C29"/>
  </mergeCells>
  <phoneticPr fontId="3"/>
  <pageMargins left="0.75" right="0.75" top="1" bottom="1" header="0.51200000000000001" footer="0.51200000000000001"/>
  <pageSetup paperSize="9" scale="66" orientation="portrait" horizontalDpi="200" verticalDpi="200" r:id="rId1"/>
  <headerFooter alignWithMargins="0">
    <oddHeader>&amp;L&amp;D　&amp;T&amp;R&amp;A</oddHeader>
  </headerFooter>
  <ignoredErrors>
    <ignoredError sqref="L4 B44:B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51"/>
  <sheetViews>
    <sheetView view="pageBreakPreview" zoomScaleNormal="100" zoomScaleSheetLayoutView="100" workbookViewId="0">
      <selection activeCell="A42" sqref="A42:XFD47"/>
    </sheetView>
  </sheetViews>
  <sheetFormatPr defaultColWidth="9" defaultRowHeight="13.75" customHeight="1"/>
  <cols>
    <col min="1" max="1" width="3.625" style="1" customWidth="1"/>
    <col min="2" max="2" width="6.375" style="1" bestFit="1" customWidth="1"/>
    <col min="3" max="3" width="38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1" spans="2:12" ht="14.95" customHeight="1"/>
    <row r="2" spans="2:12" ht="14.9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2:12" ht="13.75" customHeight="1">
      <c r="B3" s="48"/>
      <c r="C3" s="2"/>
      <c r="D3" s="49"/>
      <c r="E3" s="48"/>
      <c r="F3" s="48"/>
      <c r="G3" s="48"/>
      <c r="H3" s="48"/>
      <c r="I3" s="48"/>
      <c r="J3" s="48"/>
      <c r="K3" s="48"/>
      <c r="L3" s="50"/>
    </row>
    <row r="4" spans="2:12" ht="13.75" customHeight="1" thickBot="1">
      <c r="B4" s="3"/>
      <c r="C4" s="3"/>
      <c r="D4" s="3"/>
      <c r="E4" s="3"/>
      <c r="F4" s="3"/>
      <c r="G4" s="4"/>
      <c r="H4" s="4"/>
      <c r="I4" s="4"/>
      <c r="J4" s="4"/>
      <c r="K4" s="5"/>
      <c r="L4" s="60" t="s">
        <v>52</v>
      </c>
    </row>
    <row r="5" spans="2:12" ht="13.75" customHeight="1" thickTop="1">
      <c r="B5" s="144" t="s">
        <v>2</v>
      </c>
      <c r="C5" s="145"/>
      <c r="D5" s="150" t="s">
        <v>3</v>
      </c>
      <c r="E5" s="150" t="s">
        <v>4</v>
      </c>
      <c r="F5" s="150" t="s">
        <v>9</v>
      </c>
      <c r="G5" s="153" t="s">
        <v>5</v>
      </c>
      <c r="H5" s="154"/>
      <c r="I5" s="154"/>
      <c r="J5" s="154"/>
      <c r="K5" s="154"/>
      <c r="L5" s="154"/>
    </row>
    <row r="6" spans="2:12" ht="13.75" customHeight="1">
      <c r="B6" s="146"/>
      <c r="C6" s="147"/>
      <c r="D6" s="151"/>
      <c r="E6" s="151"/>
      <c r="F6" s="151"/>
      <c r="G6" s="155" t="s">
        <v>6</v>
      </c>
      <c r="H6" s="155"/>
      <c r="I6" s="2"/>
      <c r="J6" s="158" t="s">
        <v>7</v>
      </c>
      <c r="K6" s="159"/>
      <c r="L6" s="158" t="s">
        <v>10</v>
      </c>
    </row>
    <row r="7" spans="2:12" ht="13.75" customHeight="1">
      <c r="B7" s="146"/>
      <c r="C7" s="147"/>
      <c r="D7" s="151"/>
      <c r="E7" s="151"/>
      <c r="F7" s="151"/>
      <c r="G7" s="156"/>
      <c r="H7" s="156"/>
      <c r="I7" s="164" t="s">
        <v>8</v>
      </c>
      <c r="J7" s="160"/>
      <c r="K7" s="161"/>
      <c r="L7" s="160"/>
    </row>
    <row r="8" spans="2:12" ht="13.75" customHeight="1">
      <c r="B8" s="148"/>
      <c r="C8" s="149"/>
      <c r="D8" s="152"/>
      <c r="E8" s="152"/>
      <c r="F8" s="152"/>
      <c r="G8" s="157"/>
      <c r="H8" s="157"/>
      <c r="I8" s="165"/>
      <c r="J8" s="162"/>
      <c r="K8" s="163"/>
      <c r="L8" s="162"/>
    </row>
    <row r="9" spans="2:12" ht="13.75" customHeight="1">
      <c r="B9" s="166" t="s">
        <v>11</v>
      </c>
      <c r="C9" s="167"/>
      <c r="D9" s="6">
        <v>134129</v>
      </c>
      <c r="E9" s="7">
        <v>66222</v>
      </c>
      <c r="F9" s="8">
        <v>49.371873345808886</v>
      </c>
      <c r="G9" s="9">
        <v>8452</v>
      </c>
      <c r="H9" s="10">
        <v>12.76313007761771</v>
      </c>
      <c r="I9" s="7">
        <v>1436</v>
      </c>
      <c r="J9" s="11">
        <v>794</v>
      </c>
      <c r="K9" s="12">
        <v>1.1989973120715169</v>
      </c>
      <c r="L9" s="13">
        <v>126</v>
      </c>
    </row>
    <row r="10" spans="2:12" ht="13.75" customHeight="1">
      <c r="B10" s="51"/>
      <c r="C10" s="52"/>
      <c r="D10" s="14"/>
      <c r="E10" s="15"/>
      <c r="F10" s="16"/>
      <c r="G10" s="17"/>
      <c r="H10" s="10"/>
      <c r="I10" s="15"/>
      <c r="J10" s="18"/>
      <c r="K10" s="10"/>
      <c r="L10" s="19"/>
    </row>
    <row r="11" spans="2:12" ht="13.75" customHeight="1">
      <c r="B11" s="168" t="s">
        <v>12</v>
      </c>
      <c r="C11" s="169"/>
      <c r="D11" s="20">
        <v>83813</v>
      </c>
      <c r="E11" s="21">
        <v>42898</v>
      </c>
      <c r="F11" s="16">
        <v>51.182990705499144</v>
      </c>
      <c r="G11" s="9">
        <v>5938</v>
      </c>
      <c r="H11" s="10">
        <v>13.842137162571682</v>
      </c>
      <c r="I11" s="9">
        <v>1078</v>
      </c>
      <c r="J11" s="22">
        <v>566</v>
      </c>
      <c r="K11" s="10">
        <v>1.3194088302484963</v>
      </c>
      <c r="L11" s="22">
        <v>71</v>
      </c>
    </row>
    <row r="12" spans="2:12" ht="13.75" customHeight="1">
      <c r="B12" s="35"/>
      <c r="C12" s="43" t="s">
        <v>13</v>
      </c>
      <c r="D12" s="20">
        <v>367</v>
      </c>
      <c r="E12" s="21">
        <v>126</v>
      </c>
      <c r="F12" s="16">
        <v>34.332425068119896</v>
      </c>
      <c r="G12" s="9">
        <v>12</v>
      </c>
      <c r="H12" s="10">
        <v>9.5238095238095237</v>
      </c>
      <c r="I12" s="9">
        <v>3</v>
      </c>
      <c r="J12" s="22">
        <v>1</v>
      </c>
      <c r="K12" s="10">
        <v>0.79365079365079361</v>
      </c>
      <c r="L12" s="22">
        <v>0</v>
      </c>
    </row>
    <row r="13" spans="2:12" ht="13.75" customHeight="1">
      <c r="B13" s="35"/>
      <c r="C13" s="43" t="s">
        <v>14</v>
      </c>
      <c r="D13" s="20">
        <v>1330</v>
      </c>
      <c r="E13" s="21">
        <v>550</v>
      </c>
      <c r="F13" s="16">
        <v>41.353383458646611</v>
      </c>
      <c r="G13" s="9">
        <v>77</v>
      </c>
      <c r="H13" s="10">
        <v>14</v>
      </c>
      <c r="I13" s="9">
        <v>14</v>
      </c>
      <c r="J13" s="22">
        <v>13</v>
      </c>
      <c r="K13" s="10">
        <v>2.3636363636363638</v>
      </c>
      <c r="L13" s="22">
        <v>3</v>
      </c>
    </row>
    <row r="14" spans="2:12" ht="13.75" customHeight="1">
      <c r="B14" s="35"/>
      <c r="C14" s="43" t="s">
        <v>15</v>
      </c>
      <c r="D14" s="20">
        <v>9853</v>
      </c>
      <c r="E14" s="21">
        <v>4592</v>
      </c>
      <c r="F14" s="16">
        <v>46.605094894955847</v>
      </c>
      <c r="G14" s="9">
        <v>408</v>
      </c>
      <c r="H14" s="10">
        <v>8.8850174216027877</v>
      </c>
      <c r="I14" s="9">
        <v>84</v>
      </c>
      <c r="J14" s="22">
        <v>22</v>
      </c>
      <c r="K14" s="10">
        <v>0.47909407665505227</v>
      </c>
      <c r="L14" s="22">
        <v>3</v>
      </c>
    </row>
    <row r="15" spans="2:12" ht="13.75" customHeight="1">
      <c r="B15" s="35"/>
      <c r="C15" s="43" t="s">
        <v>16</v>
      </c>
      <c r="D15" s="20">
        <v>4473</v>
      </c>
      <c r="E15" s="21">
        <v>2212</v>
      </c>
      <c r="F15" s="16">
        <v>49.452269170579029</v>
      </c>
      <c r="G15" s="9">
        <v>180</v>
      </c>
      <c r="H15" s="10">
        <v>8.1374321880650999</v>
      </c>
      <c r="I15" s="9">
        <v>21</v>
      </c>
      <c r="J15" s="22">
        <v>8</v>
      </c>
      <c r="K15" s="10">
        <v>0.36166365280289331</v>
      </c>
      <c r="L15" s="22">
        <v>1</v>
      </c>
    </row>
    <row r="16" spans="2:12" ht="13.75" customHeight="1">
      <c r="B16" s="35"/>
      <c r="C16" s="43" t="s">
        <v>17</v>
      </c>
      <c r="D16" s="20">
        <v>887</v>
      </c>
      <c r="E16" s="21">
        <v>453</v>
      </c>
      <c r="F16" s="16">
        <v>51.071025930101463</v>
      </c>
      <c r="G16" s="9">
        <v>51</v>
      </c>
      <c r="H16" s="10">
        <v>11.258278145695364</v>
      </c>
      <c r="I16" s="9">
        <v>12</v>
      </c>
      <c r="J16" s="22">
        <v>7</v>
      </c>
      <c r="K16" s="10">
        <v>1.5452538631346577</v>
      </c>
      <c r="L16" s="22">
        <v>2</v>
      </c>
    </row>
    <row r="17" spans="2:12" ht="13.75" customHeight="1">
      <c r="B17" s="35"/>
      <c r="C17" s="43" t="s">
        <v>18</v>
      </c>
      <c r="D17" s="20">
        <v>38209</v>
      </c>
      <c r="E17" s="21">
        <v>22221</v>
      </c>
      <c r="F17" s="16">
        <v>58.156455285403965</v>
      </c>
      <c r="G17" s="9">
        <v>3698</v>
      </c>
      <c r="H17" s="10">
        <v>16.641915305341794</v>
      </c>
      <c r="I17" s="9">
        <v>647</v>
      </c>
      <c r="J17" s="22">
        <v>384</v>
      </c>
      <c r="K17" s="10">
        <v>1.7280950452274875</v>
      </c>
      <c r="L17" s="22">
        <v>39</v>
      </c>
    </row>
    <row r="18" spans="2:12" ht="13.75" customHeight="1">
      <c r="B18" s="35"/>
      <c r="C18" s="43" t="s">
        <v>19</v>
      </c>
      <c r="D18" s="20">
        <v>9164</v>
      </c>
      <c r="E18" s="21">
        <v>4101</v>
      </c>
      <c r="F18" s="16">
        <v>44.751200349192494</v>
      </c>
      <c r="G18" s="9">
        <v>531</v>
      </c>
      <c r="H18" s="10">
        <v>12.948061448427213</v>
      </c>
      <c r="I18" s="9">
        <v>104</v>
      </c>
      <c r="J18" s="22">
        <v>58</v>
      </c>
      <c r="K18" s="10">
        <v>1.4142891977566447</v>
      </c>
      <c r="L18" s="22">
        <v>6</v>
      </c>
    </row>
    <row r="19" spans="2:12" ht="13.75" customHeight="1">
      <c r="B19" s="35"/>
      <c r="C19" s="43" t="s">
        <v>20</v>
      </c>
      <c r="D19" s="20">
        <v>1103</v>
      </c>
      <c r="E19" s="21">
        <v>614</v>
      </c>
      <c r="F19" s="16">
        <v>55.6663644605621</v>
      </c>
      <c r="G19" s="9">
        <v>88</v>
      </c>
      <c r="H19" s="10">
        <v>14.332247557003258</v>
      </c>
      <c r="I19" s="9">
        <v>26</v>
      </c>
      <c r="J19" s="22">
        <v>11</v>
      </c>
      <c r="K19" s="10">
        <v>1.7915309446254073</v>
      </c>
      <c r="L19" s="22">
        <v>2</v>
      </c>
    </row>
    <row r="20" spans="2:12" ht="13.75" customHeight="1">
      <c r="B20" s="35"/>
      <c r="C20" s="43" t="s">
        <v>21</v>
      </c>
      <c r="D20" s="20">
        <v>2006</v>
      </c>
      <c r="E20" s="21">
        <v>956</v>
      </c>
      <c r="F20" s="16">
        <v>47.65702891326022</v>
      </c>
      <c r="G20" s="9">
        <v>164</v>
      </c>
      <c r="H20" s="10">
        <v>17.15481171548117</v>
      </c>
      <c r="I20" s="9">
        <v>21</v>
      </c>
      <c r="J20" s="22">
        <v>7</v>
      </c>
      <c r="K20" s="10">
        <v>0.73221757322175729</v>
      </c>
      <c r="L20" s="22">
        <v>1</v>
      </c>
    </row>
    <row r="21" spans="2:12" ht="13.75" customHeight="1">
      <c r="B21" s="35"/>
      <c r="C21" s="43" t="s">
        <v>22</v>
      </c>
      <c r="D21" s="20">
        <v>554</v>
      </c>
      <c r="E21" s="21">
        <v>212</v>
      </c>
      <c r="F21" s="16">
        <v>38.26714801444043</v>
      </c>
      <c r="G21" s="9">
        <v>39</v>
      </c>
      <c r="H21" s="10">
        <v>18.39622641509434</v>
      </c>
      <c r="I21" s="9">
        <v>13</v>
      </c>
      <c r="J21" s="22">
        <v>1</v>
      </c>
      <c r="K21" s="10">
        <v>0.47169811320754712</v>
      </c>
      <c r="L21" s="22">
        <v>1</v>
      </c>
    </row>
    <row r="22" spans="2:12" ht="13.75" customHeight="1">
      <c r="B22" s="35"/>
      <c r="C22" s="43" t="s">
        <v>23</v>
      </c>
      <c r="D22" s="20">
        <v>1469</v>
      </c>
      <c r="E22" s="21">
        <v>542</v>
      </c>
      <c r="F22" s="16">
        <v>36.895847515316547</v>
      </c>
      <c r="G22" s="9">
        <v>62</v>
      </c>
      <c r="H22" s="10">
        <v>11.439114391143912</v>
      </c>
      <c r="I22" s="9">
        <v>21</v>
      </c>
      <c r="J22" s="22">
        <v>9</v>
      </c>
      <c r="K22" s="10">
        <v>1.6605166051660516</v>
      </c>
      <c r="L22" s="22">
        <v>2</v>
      </c>
    </row>
    <row r="23" spans="2:12" ht="13.75" customHeight="1">
      <c r="B23" s="35"/>
      <c r="C23" s="43" t="s">
        <v>24</v>
      </c>
      <c r="D23" s="20">
        <v>290</v>
      </c>
      <c r="E23" s="21">
        <v>108</v>
      </c>
      <c r="F23" s="16">
        <v>37.241379310344833</v>
      </c>
      <c r="G23" s="9">
        <v>4</v>
      </c>
      <c r="H23" s="10">
        <v>3.7037037037037033</v>
      </c>
      <c r="I23" s="9">
        <v>1</v>
      </c>
      <c r="J23" s="22">
        <v>0</v>
      </c>
      <c r="K23" s="10">
        <v>0</v>
      </c>
      <c r="L23" s="22">
        <v>1</v>
      </c>
    </row>
    <row r="24" spans="2:12" ht="13.75" customHeight="1">
      <c r="B24" s="35"/>
      <c r="C24" s="43" t="s">
        <v>25</v>
      </c>
      <c r="D24" s="20">
        <v>77</v>
      </c>
      <c r="E24" s="21">
        <v>22</v>
      </c>
      <c r="F24" s="16">
        <v>28.571428571428569</v>
      </c>
      <c r="G24" s="9">
        <v>1</v>
      </c>
      <c r="H24" s="10">
        <v>4.5454545454545459</v>
      </c>
      <c r="I24" s="9">
        <v>0</v>
      </c>
      <c r="J24" s="22">
        <v>0</v>
      </c>
      <c r="K24" s="10">
        <v>0</v>
      </c>
      <c r="L24" s="22">
        <v>0</v>
      </c>
    </row>
    <row r="25" spans="2:12" ht="13.75" customHeight="1">
      <c r="B25" s="35"/>
      <c r="C25" s="43" t="s">
        <v>26</v>
      </c>
      <c r="D25" s="20">
        <v>2583</v>
      </c>
      <c r="E25" s="21">
        <v>1260</v>
      </c>
      <c r="F25" s="16">
        <v>48.780487804878049</v>
      </c>
      <c r="G25" s="9">
        <v>157</v>
      </c>
      <c r="H25" s="10">
        <v>12.46031746031746</v>
      </c>
      <c r="I25" s="9">
        <v>30</v>
      </c>
      <c r="J25" s="22">
        <v>10</v>
      </c>
      <c r="K25" s="10">
        <v>0.79365079365079372</v>
      </c>
      <c r="L25" s="22">
        <v>3</v>
      </c>
    </row>
    <row r="26" spans="2:12" ht="13.75" customHeight="1">
      <c r="B26" s="35"/>
      <c r="C26" s="43" t="s">
        <v>27</v>
      </c>
      <c r="D26" s="20">
        <v>873</v>
      </c>
      <c r="E26" s="21">
        <v>566</v>
      </c>
      <c r="F26" s="16">
        <v>64.83390607101947</v>
      </c>
      <c r="G26" s="9">
        <v>45</v>
      </c>
      <c r="H26" s="10">
        <v>7.9505300353356887</v>
      </c>
      <c r="I26" s="9">
        <v>10</v>
      </c>
      <c r="J26" s="22">
        <v>3</v>
      </c>
      <c r="K26" s="10">
        <v>0.53003533568904593</v>
      </c>
      <c r="L26" s="22">
        <v>1</v>
      </c>
    </row>
    <row r="27" spans="2:12" ht="13.75" customHeight="1">
      <c r="B27" s="34"/>
      <c r="C27" s="44" t="s">
        <v>28</v>
      </c>
      <c r="D27" s="23">
        <v>10575</v>
      </c>
      <c r="E27" s="24">
        <v>4363</v>
      </c>
      <c r="F27" s="16">
        <v>41.257683215130022</v>
      </c>
      <c r="G27" s="25">
        <v>421</v>
      </c>
      <c r="H27" s="10">
        <v>9.6493238597295434</v>
      </c>
      <c r="I27" s="23">
        <v>71</v>
      </c>
      <c r="J27" s="22">
        <v>32</v>
      </c>
      <c r="K27" s="10">
        <v>0.73344029337611727</v>
      </c>
      <c r="L27" s="26">
        <v>6</v>
      </c>
    </row>
    <row r="28" spans="2:12" ht="13.75" customHeight="1">
      <c r="B28" s="34"/>
      <c r="C28" s="44"/>
      <c r="D28" s="23"/>
      <c r="E28" s="24"/>
      <c r="F28" s="16"/>
      <c r="G28" s="25"/>
      <c r="H28" s="10"/>
      <c r="I28" s="25"/>
      <c r="J28" s="26"/>
      <c r="K28" s="10"/>
      <c r="L28" s="26"/>
    </row>
    <row r="29" spans="2:12" ht="13.75" customHeight="1">
      <c r="B29" s="170" t="s">
        <v>29</v>
      </c>
      <c r="C29" s="171"/>
      <c r="D29" s="20">
        <v>50316</v>
      </c>
      <c r="E29" s="21">
        <v>23324</v>
      </c>
      <c r="F29" s="16">
        <v>46.355036171396776</v>
      </c>
      <c r="G29" s="9">
        <v>2514</v>
      </c>
      <c r="H29" s="10">
        <v>10.778597153146972</v>
      </c>
      <c r="I29" s="9">
        <v>358</v>
      </c>
      <c r="J29" s="22">
        <v>228</v>
      </c>
      <c r="K29" s="10">
        <v>0.97753387069113351</v>
      </c>
      <c r="L29" s="22">
        <v>55</v>
      </c>
    </row>
    <row r="30" spans="2:12" ht="13.75" customHeight="1">
      <c r="B30" s="34"/>
      <c r="C30" s="44" t="s">
        <v>30</v>
      </c>
      <c r="D30" s="20">
        <v>33</v>
      </c>
      <c r="E30" s="21">
        <v>14</v>
      </c>
      <c r="F30" s="16">
        <v>42.424242424242422</v>
      </c>
      <c r="G30" s="9">
        <v>0</v>
      </c>
      <c r="H30" s="10">
        <v>0</v>
      </c>
      <c r="I30" s="9">
        <v>0</v>
      </c>
      <c r="J30" s="22">
        <v>0</v>
      </c>
      <c r="K30" s="10">
        <v>0</v>
      </c>
      <c r="L30" s="22">
        <v>0</v>
      </c>
    </row>
    <row r="31" spans="2:12" ht="13.75" customHeight="1">
      <c r="B31" s="36"/>
      <c r="C31" s="37" t="s">
        <v>31</v>
      </c>
      <c r="D31" s="20">
        <v>1578</v>
      </c>
      <c r="E31" s="21">
        <v>505</v>
      </c>
      <c r="F31" s="27">
        <v>32.00253485424588</v>
      </c>
      <c r="G31" s="9">
        <v>43</v>
      </c>
      <c r="H31" s="28">
        <v>8.5148514851485153</v>
      </c>
      <c r="I31" s="9">
        <v>10</v>
      </c>
      <c r="J31" s="22">
        <v>0</v>
      </c>
      <c r="K31" s="28">
        <v>0</v>
      </c>
      <c r="L31" s="22">
        <v>1</v>
      </c>
    </row>
    <row r="32" spans="2:12" ht="13.75" customHeight="1">
      <c r="B32" s="36"/>
      <c r="C32" s="37" t="s">
        <v>32</v>
      </c>
      <c r="D32" s="20">
        <v>1897</v>
      </c>
      <c r="E32" s="21">
        <v>601</v>
      </c>
      <c r="F32" s="27">
        <v>31.681602530311014</v>
      </c>
      <c r="G32" s="9">
        <v>39</v>
      </c>
      <c r="H32" s="28">
        <v>6.489184692179701</v>
      </c>
      <c r="I32" s="9">
        <v>6</v>
      </c>
      <c r="J32" s="22">
        <v>1</v>
      </c>
      <c r="K32" s="10">
        <v>0.1663893510815308</v>
      </c>
      <c r="L32" s="22">
        <v>1</v>
      </c>
    </row>
    <row r="33" spans="2:12" ht="13.75" customHeight="1">
      <c r="B33" s="36"/>
      <c r="C33" s="40" t="s">
        <v>47</v>
      </c>
      <c r="D33" s="20">
        <v>1846</v>
      </c>
      <c r="E33" s="21">
        <v>876</v>
      </c>
      <c r="F33" s="27">
        <v>47.45395449620802</v>
      </c>
      <c r="G33" s="9">
        <v>71</v>
      </c>
      <c r="H33" s="28">
        <v>8.1050228310502277</v>
      </c>
      <c r="I33" s="9">
        <v>16</v>
      </c>
      <c r="J33" s="22">
        <v>5</v>
      </c>
      <c r="K33" s="28">
        <v>0.57077625570776258</v>
      </c>
      <c r="L33" s="22">
        <v>1</v>
      </c>
    </row>
    <row r="34" spans="2:12" ht="13.75" customHeight="1">
      <c r="B34" s="36"/>
      <c r="C34" s="37" t="s">
        <v>33</v>
      </c>
      <c r="D34" s="20">
        <v>532</v>
      </c>
      <c r="E34" s="21">
        <v>220</v>
      </c>
      <c r="F34" s="27">
        <v>41.353383458646611</v>
      </c>
      <c r="G34" s="9">
        <v>17</v>
      </c>
      <c r="H34" s="28">
        <v>7.7272727272727266</v>
      </c>
      <c r="I34" s="9">
        <v>2</v>
      </c>
      <c r="J34" s="22">
        <v>0</v>
      </c>
      <c r="K34" s="10">
        <v>0</v>
      </c>
      <c r="L34" s="22">
        <v>0</v>
      </c>
    </row>
    <row r="35" spans="2:12" ht="13.75" customHeight="1">
      <c r="B35" s="36"/>
      <c r="C35" s="37" t="s">
        <v>34</v>
      </c>
      <c r="D35" s="20">
        <v>293</v>
      </c>
      <c r="E35" s="21">
        <v>93</v>
      </c>
      <c r="F35" s="27">
        <v>31.74061433447099</v>
      </c>
      <c r="G35" s="9">
        <v>10</v>
      </c>
      <c r="H35" s="28">
        <v>10.75268817204301</v>
      </c>
      <c r="I35" s="9">
        <v>0</v>
      </c>
      <c r="J35" s="22">
        <v>0</v>
      </c>
      <c r="K35" s="28">
        <v>0</v>
      </c>
      <c r="L35" s="22">
        <v>0</v>
      </c>
    </row>
    <row r="36" spans="2:12" ht="13.75" customHeight="1">
      <c r="B36" s="34"/>
      <c r="C36" s="44" t="s">
        <v>35</v>
      </c>
      <c r="D36" s="20">
        <v>15153</v>
      </c>
      <c r="E36" s="21">
        <v>11040</v>
      </c>
      <c r="F36" s="16">
        <v>72.856860027717289</v>
      </c>
      <c r="G36" s="9">
        <v>1650</v>
      </c>
      <c r="H36" s="10">
        <v>14.945652173913043</v>
      </c>
      <c r="I36" s="9">
        <v>230</v>
      </c>
      <c r="J36" s="22">
        <v>178</v>
      </c>
      <c r="K36" s="10">
        <v>1.61231884057971</v>
      </c>
      <c r="L36" s="22">
        <v>41</v>
      </c>
    </row>
    <row r="37" spans="2:12" ht="13.75" customHeight="1">
      <c r="B37" s="36"/>
      <c r="C37" s="37" t="s">
        <v>36</v>
      </c>
      <c r="D37" s="20">
        <v>1311</v>
      </c>
      <c r="E37" s="21">
        <v>453</v>
      </c>
      <c r="F37" s="27">
        <v>34.553775743707092</v>
      </c>
      <c r="G37" s="9">
        <v>85</v>
      </c>
      <c r="H37" s="28">
        <v>18.763796909492271</v>
      </c>
      <c r="I37" s="9">
        <v>12</v>
      </c>
      <c r="J37" s="22">
        <v>9</v>
      </c>
      <c r="K37" s="28">
        <v>1.9867549668874172</v>
      </c>
      <c r="L37" s="22">
        <v>0</v>
      </c>
    </row>
    <row r="38" spans="2:12" ht="13.75" customHeight="1">
      <c r="B38" s="36"/>
      <c r="C38" s="40" t="s">
        <v>48</v>
      </c>
      <c r="D38" s="20">
        <v>346</v>
      </c>
      <c r="E38" s="21">
        <v>153</v>
      </c>
      <c r="F38" s="27">
        <v>44.21965317919075</v>
      </c>
      <c r="G38" s="9">
        <v>27</v>
      </c>
      <c r="H38" s="28">
        <v>17.647058823529413</v>
      </c>
      <c r="I38" s="9">
        <v>5</v>
      </c>
      <c r="J38" s="22">
        <v>2</v>
      </c>
      <c r="K38" s="28">
        <v>1.3071895424836601</v>
      </c>
      <c r="L38" s="22">
        <v>0</v>
      </c>
    </row>
    <row r="39" spans="2:12" ht="13.75" customHeight="1">
      <c r="B39" s="34"/>
      <c r="C39" s="41" t="s">
        <v>49</v>
      </c>
      <c r="D39" s="20">
        <v>448</v>
      </c>
      <c r="E39" s="21">
        <v>344</v>
      </c>
      <c r="F39" s="16">
        <v>76.785714285714292</v>
      </c>
      <c r="G39" s="9">
        <v>26</v>
      </c>
      <c r="H39" s="10">
        <v>7.558139534883721</v>
      </c>
      <c r="I39" s="9">
        <v>7</v>
      </c>
      <c r="J39" s="22">
        <v>5</v>
      </c>
      <c r="K39" s="10">
        <v>1.4534883720930232</v>
      </c>
      <c r="L39" s="22">
        <v>0</v>
      </c>
    </row>
    <row r="40" spans="2:12" ht="13.75" customHeight="1">
      <c r="B40" s="36"/>
      <c r="C40" s="37" t="s">
        <v>37</v>
      </c>
      <c r="D40" s="20">
        <v>134</v>
      </c>
      <c r="E40" s="21">
        <v>49</v>
      </c>
      <c r="F40" s="27">
        <v>36.567164179104481</v>
      </c>
      <c r="G40" s="9">
        <v>1</v>
      </c>
      <c r="H40" s="28">
        <v>2.0408163265306123</v>
      </c>
      <c r="I40" s="9">
        <v>0</v>
      </c>
      <c r="J40" s="22">
        <v>0</v>
      </c>
      <c r="K40" s="28">
        <v>0</v>
      </c>
      <c r="L40" s="22">
        <v>0</v>
      </c>
    </row>
    <row r="41" spans="2:12" ht="13.75" customHeight="1">
      <c r="B41" s="38"/>
      <c r="C41" s="39" t="s">
        <v>28</v>
      </c>
      <c r="D41" s="29">
        <v>26745</v>
      </c>
      <c r="E41" s="30">
        <v>8976</v>
      </c>
      <c r="F41" s="31">
        <v>33.561413348289399</v>
      </c>
      <c r="G41" s="32">
        <v>545</v>
      </c>
      <c r="H41" s="33">
        <v>6.0717468805704096</v>
      </c>
      <c r="I41" s="29">
        <v>70</v>
      </c>
      <c r="J41" s="32">
        <v>28</v>
      </c>
      <c r="K41" s="33">
        <v>0.31194295900178254</v>
      </c>
      <c r="L41" s="32">
        <v>11</v>
      </c>
    </row>
    <row r="42" spans="2:12" s="58" customFormat="1" ht="14.3">
      <c r="B42" s="59" t="s">
        <v>38</v>
      </c>
      <c r="C42" s="142" t="s">
        <v>50</v>
      </c>
      <c r="D42" s="142"/>
      <c r="E42" s="142"/>
      <c r="F42" s="142"/>
      <c r="G42" s="142"/>
      <c r="H42" s="142"/>
      <c r="I42" s="142"/>
      <c r="J42" s="142"/>
      <c r="K42" s="142"/>
      <c r="L42" s="142"/>
    </row>
    <row r="43" spans="2:12" s="58" customFormat="1" ht="14.3">
      <c r="B43" s="61"/>
      <c r="C43" s="141" t="s">
        <v>51</v>
      </c>
      <c r="D43" s="141"/>
      <c r="E43" s="141"/>
      <c r="F43" s="141"/>
      <c r="G43" s="141"/>
      <c r="H43" s="141"/>
      <c r="I43" s="141"/>
      <c r="J43" s="141"/>
      <c r="K43" s="141"/>
      <c r="L43" s="141"/>
    </row>
    <row r="44" spans="2:12" s="58" customFormat="1" ht="13.75" customHeight="1">
      <c r="B44" s="57" t="s">
        <v>39</v>
      </c>
      <c r="C44" s="143" t="s">
        <v>40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57" t="s">
        <v>41</v>
      </c>
      <c r="C45" s="143" t="s">
        <v>42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s="58" customFormat="1" ht="13.75" customHeight="1">
      <c r="B46" s="57" t="s">
        <v>43</v>
      </c>
      <c r="C46" s="143" t="s">
        <v>44</v>
      </c>
      <c r="D46" s="143"/>
      <c r="E46" s="143"/>
      <c r="F46" s="143"/>
      <c r="G46" s="143"/>
      <c r="H46" s="143"/>
      <c r="I46" s="143"/>
      <c r="J46" s="143"/>
      <c r="K46" s="143"/>
      <c r="L46" s="143"/>
    </row>
    <row r="47" spans="2:12" s="58" customFormat="1" ht="13.75" customHeight="1">
      <c r="B47" s="57" t="s">
        <v>45</v>
      </c>
      <c r="C47" s="143" t="s">
        <v>46</v>
      </c>
      <c r="D47" s="143"/>
      <c r="E47" s="143"/>
      <c r="F47" s="143"/>
      <c r="G47" s="143"/>
      <c r="H47" s="143"/>
      <c r="I47" s="143"/>
      <c r="J47" s="143"/>
      <c r="K47" s="143"/>
      <c r="L47" s="143"/>
    </row>
    <row r="48" spans="2:12" ht="13.75" customHeight="1">
      <c r="B48" s="42"/>
      <c r="C48" s="42"/>
      <c r="D48" s="42"/>
      <c r="E48" s="42"/>
      <c r="F48" s="42"/>
      <c r="G48" s="42"/>
      <c r="H48" s="42"/>
      <c r="I48" s="42"/>
      <c r="J48" s="55"/>
      <c r="K48" s="56"/>
      <c r="L48" s="56"/>
    </row>
    <row r="49" spans="2:12" ht="13.75" customHeight="1">
      <c r="B49" s="42"/>
      <c r="F49" s="55"/>
      <c r="G49" s="55"/>
      <c r="H49" s="55"/>
      <c r="I49" s="55"/>
      <c r="J49" s="55"/>
      <c r="K49" s="56"/>
      <c r="L49" s="56"/>
    </row>
    <row r="51" spans="2:12" ht="13.75" customHeight="1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</sheetData>
  <mergeCells count="18">
    <mergeCell ref="G5:L5"/>
    <mergeCell ref="G6:H8"/>
    <mergeCell ref="J6:K8"/>
    <mergeCell ref="L6:L8"/>
    <mergeCell ref="I7:I8"/>
    <mergeCell ref="E5:E8"/>
    <mergeCell ref="F5:F8"/>
    <mergeCell ref="B5:C8"/>
    <mergeCell ref="D5:D8"/>
    <mergeCell ref="B9:C9"/>
    <mergeCell ref="C45:L45"/>
    <mergeCell ref="C46:L46"/>
    <mergeCell ref="C47:L47"/>
    <mergeCell ref="B11:C11"/>
    <mergeCell ref="B29:C29"/>
    <mergeCell ref="C42:L42"/>
    <mergeCell ref="C43:L43"/>
    <mergeCell ref="C44:L44"/>
  </mergeCells>
  <phoneticPr fontId="3"/>
  <pageMargins left="0.75" right="0.75" top="1" bottom="1" header="0.51200000000000001" footer="0.51200000000000001"/>
  <pageSetup paperSize="9" scale="66" orientation="portrait" horizontalDpi="200" verticalDpi="200" r:id="rId1"/>
  <headerFooter alignWithMargins="0">
    <oddHeader>&amp;L&amp;D　&amp;T&amp;R&amp;A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49"/>
  <sheetViews>
    <sheetView view="pageBreakPreview" topLeftCell="A25" zoomScaleNormal="100" zoomScaleSheetLayoutView="100" workbookViewId="0">
      <selection activeCell="A40" sqref="A40:XFD45"/>
    </sheetView>
  </sheetViews>
  <sheetFormatPr defaultColWidth="9" defaultRowHeight="13.75" customHeight="1"/>
  <cols>
    <col min="1" max="1" width="3.625" style="1" customWidth="1"/>
    <col min="2" max="2" width="6.375" style="1" bestFit="1" customWidth="1"/>
    <col min="3" max="3" width="38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1" spans="2:12" ht="13.75" customHeight="1">
      <c r="B1" s="62"/>
      <c r="C1" s="46"/>
      <c r="D1" s="63"/>
      <c r="E1" s="62"/>
      <c r="F1" s="62"/>
      <c r="G1" s="62"/>
      <c r="H1" s="62"/>
      <c r="I1" s="62"/>
      <c r="J1" s="62"/>
      <c r="K1" s="62"/>
      <c r="L1" s="64"/>
    </row>
    <row r="2" spans="2:12" ht="13.75" customHeight="1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53</v>
      </c>
    </row>
    <row r="3" spans="2:12" ht="13.75" customHeight="1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 ht="13.75" customHeight="1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 ht="13.75" customHeight="1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 ht="13.75" customHeight="1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 ht="13.75" customHeight="1">
      <c r="B7" s="166" t="s">
        <v>11</v>
      </c>
      <c r="C7" s="167"/>
      <c r="D7" s="65">
        <v>138435</v>
      </c>
      <c r="E7" s="66">
        <v>68842</v>
      </c>
      <c r="F7" s="67">
        <v>49.728753566655833</v>
      </c>
      <c r="G7" s="68">
        <v>9214</v>
      </c>
      <c r="H7" s="69">
        <v>13.384271229772523</v>
      </c>
      <c r="I7" s="66">
        <v>1618</v>
      </c>
      <c r="J7" s="70">
        <v>785</v>
      </c>
      <c r="K7" s="71">
        <v>1.1402922634438279</v>
      </c>
      <c r="L7" s="72">
        <v>127</v>
      </c>
    </row>
    <row r="8" spans="2:12" ht="13.75" customHeight="1">
      <c r="B8" s="51"/>
      <c r="C8" s="52"/>
      <c r="D8" s="73"/>
      <c r="E8" s="74"/>
      <c r="F8" s="75"/>
      <c r="G8" s="51"/>
      <c r="H8" s="69"/>
      <c r="I8" s="74"/>
      <c r="J8" s="54"/>
      <c r="K8" s="69"/>
      <c r="L8" s="76"/>
    </row>
    <row r="9" spans="2:12" ht="13.75" customHeight="1">
      <c r="B9" s="168" t="s">
        <v>12</v>
      </c>
      <c r="C9" s="169"/>
      <c r="D9" s="77">
        <v>85576</v>
      </c>
      <c r="E9" s="78">
        <v>44547</v>
      </c>
      <c r="F9" s="75">
        <v>52.055482845657664</v>
      </c>
      <c r="G9" s="68">
        <v>6508</v>
      </c>
      <c r="H9" s="69">
        <v>14.6092890654814</v>
      </c>
      <c r="I9" s="68">
        <v>1236</v>
      </c>
      <c r="J9" s="79">
        <v>554</v>
      </c>
      <c r="K9" s="69">
        <v>1.2436303230296091</v>
      </c>
      <c r="L9" s="79">
        <v>91</v>
      </c>
    </row>
    <row r="10" spans="2:12" ht="13.75" customHeight="1">
      <c r="B10" s="35"/>
      <c r="C10" s="43" t="s">
        <v>13</v>
      </c>
      <c r="D10" s="77">
        <v>420</v>
      </c>
      <c r="E10" s="78">
        <v>148</v>
      </c>
      <c r="F10" s="75">
        <v>35.238095238095241</v>
      </c>
      <c r="G10" s="68">
        <v>6</v>
      </c>
      <c r="H10" s="69">
        <v>4.0540540540540544</v>
      </c>
      <c r="I10" s="68">
        <v>1</v>
      </c>
      <c r="J10" s="79">
        <v>0</v>
      </c>
      <c r="K10" s="69">
        <v>0</v>
      </c>
      <c r="L10" s="79">
        <v>1</v>
      </c>
    </row>
    <row r="11" spans="2:12" ht="13.75" customHeight="1">
      <c r="B11" s="35"/>
      <c r="C11" s="43" t="s">
        <v>14</v>
      </c>
      <c r="D11" s="77">
        <v>1466</v>
      </c>
      <c r="E11" s="78">
        <v>554</v>
      </c>
      <c r="F11" s="75">
        <v>37.789904502046383</v>
      </c>
      <c r="G11" s="68">
        <v>81</v>
      </c>
      <c r="H11" s="69">
        <v>14.620938628158845</v>
      </c>
      <c r="I11" s="68">
        <v>13</v>
      </c>
      <c r="J11" s="79">
        <v>7</v>
      </c>
      <c r="K11" s="69">
        <v>1.2635379061371841</v>
      </c>
      <c r="L11" s="79">
        <v>2</v>
      </c>
    </row>
    <row r="12" spans="2:12" ht="13.75" customHeight="1">
      <c r="B12" s="35"/>
      <c r="C12" s="43" t="s">
        <v>15</v>
      </c>
      <c r="D12" s="77">
        <v>9849</v>
      </c>
      <c r="E12" s="78">
        <v>4690</v>
      </c>
      <c r="F12" s="75">
        <v>47.619047619047613</v>
      </c>
      <c r="G12" s="68">
        <v>453</v>
      </c>
      <c r="H12" s="69">
        <v>9.658848614072495</v>
      </c>
      <c r="I12" s="68">
        <v>81</v>
      </c>
      <c r="J12" s="79">
        <v>26</v>
      </c>
      <c r="K12" s="69">
        <v>0.55437100213219614</v>
      </c>
      <c r="L12" s="79">
        <v>6</v>
      </c>
    </row>
    <row r="13" spans="2:12" ht="13.75" customHeight="1">
      <c r="B13" s="35"/>
      <c r="C13" s="43" t="s">
        <v>16</v>
      </c>
      <c r="D13" s="77">
        <v>3924</v>
      </c>
      <c r="E13" s="78">
        <v>1918</v>
      </c>
      <c r="F13" s="75">
        <v>48.878695208970441</v>
      </c>
      <c r="G13" s="68">
        <v>163</v>
      </c>
      <c r="H13" s="69">
        <v>8.4984358706986445</v>
      </c>
      <c r="I13" s="68">
        <v>31</v>
      </c>
      <c r="J13" s="79">
        <v>7</v>
      </c>
      <c r="K13" s="69">
        <v>0.36496350364963503</v>
      </c>
      <c r="L13" s="79">
        <v>1</v>
      </c>
    </row>
    <row r="14" spans="2:12" ht="13.75" customHeight="1">
      <c r="B14" s="35"/>
      <c r="C14" s="43" t="s">
        <v>17</v>
      </c>
      <c r="D14" s="77">
        <v>606</v>
      </c>
      <c r="E14" s="78">
        <v>333</v>
      </c>
      <c r="F14" s="75">
        <v>54.950495049504951</v>
      </c>
      <c r="G14" s="68">
        <v>36</v>
      </c>
      <c r="H14" s="69">
        <v>10.810810810810811</v>
      </c>
      <c r="I14" s="68">
        <v>6</v>
      </c>
      <c r="J14" s="79">
        <v>3</v>
      </c>
      <c r="K14" s="69">
        <v>0.90090090090090091</v>
      </c>
      <c r="L14" s="79">
        <v>3</v>
      </c>
    </row>
    <row r="15" spans="2:12" ht="13.75" customHeight="1">
      <c r="B15" s="35"/>
      <c r="C15" s="43" t="s">
        <v>18</v>
      </c>
      <c r="D15" s="77">
        <v>40788</v>
      </c>
      <c r="E15" s="78">
        <v>23724</v>
      </c>
      <c r="F15" s="75">
        <v>58.164165931156219</v>
      </c>
      <c r="G15" s="68">
        <v>4159</v>
      </c>
      <c r="H15" s="69">
        <v>17.530770527735626</v>
      </c>
      <c r="I15" s="68">
        <v>779</v>
      </c>
      <c r="J15" s="79">
        <v>378</v>
      </c>
      <c r="K15" s="69">
        <v>1.5933232169954477</v>
      </c>
      <c r="L15" s="79">
        <v>47</v>
      </c>
    </row>
    <row r="16" spans="2:12" ht="13.75" customHeight="1">
      <c r="B16" s="35"/>
      <c r="C16" s="43" t="s">
        <v>19</v>
      </c>
      <c r="D16" s="77">
        <v>8648</v>
      </c>
      <c r="E16" s="78">
        <v>4123</v>
      </c>
      <c r="F16" s="75">
        <v>47.675763182238668</v>
      </c>
      <c r="G16" s="68">
        <v>567</v>
      </c>
      <c r="H16" s="69">
        <v>13.752122241086589</v>
      </c>
      <c r="I16" s="68">
        <v>122</v>
      </c>
      <c r="J16" s="79">
        <v>55</v>
      </c>
      <c r="K16" s="69">
        <v>1.3339801115692458</v>
      </c>
      <c r="L16" s="79">
        <v>13</v>
      </c>
    </row>
    <row r="17" spans="2:12" ht="13.75" customHeight="1">
      <c r="B17" s="35"/>
      <c r="C17" s="43" t="s">
        <v>20</v>
      </c>
      <c r="D17" s="77">
        <v>1039</v>
      </c>
      <c r="E17" s="78">
        <v>584</v>
      </c>
      <c r="F17" s="75">
        <v>56.207892204042352</v>
      </c>
      <c r="G17" s="68">
        <v>74</v>
      </c>
      <c r="H17" s="69">
        <v>12.671232876712329</v>
      </c>
      <c r="I17" s="68">
        <v>16</v>
      </c>
      <c r="J17" s="79">
        <v>9</v>
      </c>
      <c r="K17" s="69">
        <v>1.5410958904109588</v>
      </c>
      <c r="L17" s="79">
        <v>0</v>
      </c>
    </row>
    <row r="18" spans="2:12" ht="13.75" customHeight="1">
      <c r="B18" s="35"/>
      <c r="C18" s="43" t="s">
        <v>21</v>
      </c>
      <c r="D18" s="77">
        <v>2184</v>
      </c>
      <c r="E18" s="78">
        <v>1077</v>
      </c>
      <c r="F18" s="75">
        <v>49.313186813186817</v>
      </c>
      <c r="G18" s="68">
        <v>205</v>
      </c>
      <c r="H18" s="69">
        <v>19.034354688950788</v>
      </c>
      <c r="I18" s="68">
        <v>36</v>
      </c>
      <c r="J18" s="79">
        <v>9</v>
      </c>
      <c r="K18" s="69">
        <v>0.83565459610027859</v>
      </c>
      <c r="L18" s="79">
        <v>2</v>
      </c>
    </row>
    <row r="19" spans="2:12" ht="13.75" customHeight="1">
      <c r="B19" s="35"/>
      <c r="C19" s="43" t="s">
        <v>22</v>
      </c>
      <c r="D19" s="77">
        <v>561</v>
      </c>
      <c r="E19" s="78">
        <v>216</v>
      </c>
      <c r="F19" s="75">
        <v>38.502673796791441</v>
      </c>
      <c r="G19" s="68">
        <v>34</v>
      </c>
      <c r="H19" s="69">
        <v>15.74074074074074</v>
      </c>
      <c r="I19" s="68">
        <v>10</v>
      </c>
      <c r="J19" s="79">
        <v>3</v>
      </c>
      <c r="K19" s="69">
        <v>1.3888888888888888</v>
      </c>
      <c r="L19" s="79">
        <v>0</v>
      </c>
    </row>
    <row r="20" spans="2:12" ht="13.75" customHeight="1">
      <c r="B20" s="35"/>
      <c r="C20" s="43" t="s">
        <v>23</v>
      </c>
      <c r="D20" s="77">
        <v>1389</v>
      </c>
      <c r="E20" s="78">
        <v>545</v>
      </c>
      <c r="F20" s="75">
        <v>39.236861051115909</v>
      </c>
      <c r="G20" s="68">
        <v>72</v>
      </c>
      <c r="H20" s="69">
        <v>13.211009174311926</v>
      </c>
      <c r="I20" s="68">
        <v>13</v>
      </c>
      <c r="J20" s="79">
        <v>6</v>
      </c>
      <c r="K20" s="69">
        <v>1.1009174311926606</v>
      </c>
      <c r="L20" s="79">
        <v>1</v>
      </c>
    </row>
    <row r="21" spans="2:12" ht="13.75" customHeight="1">
      <c r="B21" s="35"/>
      <c r="C21" s="43" t="s">
        <v>24</v>
      </c>
      <c r="D21" s="77">
        <v>349</v>
      </c>
      <c r="E21" s="78">
        <v>132</v>
      </c>
      <c r="F21" s="75">
        <v>37.822349570200572</v>
      </c>
      <c r="G21" s="68">
        <v>12</v>
      </c>
      <c r="H21" s="69">
        <v>9.0909090909090899</v>
      </c>
      <c r="I21" s="68">
        <v>5</v>
      </c>
      <c r="J21" s="79">
        <v>0</v>
      </c>
      <c r="K21" s="69">
        <v>0</v>
      </c>
      <c r="L21" s="79">
        <v>2</v>
      </c>
    </row>
    <row r="22" spans="2:12" ht="13.75" customHeight="1">
      <c r="B22" s="35"/>
      <c r="C22" s="43" t="s">
        <v>25</v>
      </c>
      <c r="D22" s="77">
        <v>100</v>
      </c>
      <c r="E22" s="78">
        <v>26</v>
      </c>
      <c r="F22" s="75">
        <v>26</v>
      </c>
      <c r="G22" s="68">
        <v>1</v>
      </c>
      <c r="H22" s="69">
        <v>3.8461538461538458</v>
      </c>
      <c r="I22" s="68">
        <v>0</v>
      </c>
      <c r="J22" s="79">
        <v>0</v>
      </c>
      <c r="K22" s="69">
        <v>0</v>
      </c>
      <c r="L22" s="79">
        <v>0</v>
      </c>
    </row>
    <row r="23" spans="2:12" ht="13.75" customHeight="1">
      <c r="B23" s="35"/>
      <c r="C23" s="43" t="s">
        <v>26</v>
      </c>
      <c r="D23" s="77">
        <v>2546</v>
      </c>
      <c r="E23" s="78">
        <v>1239</v>
      </c>
      <c r="F23" s="75">
        <v>48.664571877454833</v>
      </c>
      <c r="G23" s="68">
        <v>139</v>
      </c>
      <c r="H23" s="69">
        <v>11.218724778046811</v>
      </c>
      <c r="I23" s="68">
        <v>35</v>
      </c>
      <c r="J23" s="79">
        <v>21</v>
      </c>
      <c r="K23" s="69">
        <v>1.6949152542372881</v>
      </c>
      <c r="L23" s="79">
        <v>4</v>
      </c>
    </row>
    <row r="24" spans="2:12" ht="13.75" customHeight="1">
      <c r="B24" s="35"/>
      <c r="C24" s="43" t="s">
        <v>27</v>
      </c>
      <c r="D24" s="77">
        <v>800</v>
      </c>
      <c r="E24" s="78">
        <v>512</v>
      </c>
      <c r="F24" s="75">
        <v>64</v>
      </c>
      <c r="G24" s="68">
        <v>43</v>
      </c>
      <c r="H24" s="69">
        <v>8.3984375</v>
      </c>
      <c r="I24" s="68">
        <v>10</v>
      </c>
      <c r="J24" s="79">
        <v>5</v>
      </c>
      <c r="K24" s="69">
        <v>0.9765625</v>
      </c>
      <c r="L24" s="79">
        <v>3</v>
      </c>
    </row>
    <row r="25" spans="2:12" ht="13.75" customHeight="1">
      <c r="B25" s="34"/>
      <c r="C25" s="44" t="s">
        <v>28</v>
      </c>
      <c r="D25" s="80">
        <v>10907</v>
      </c>
      <c r="E25" s="81">
        <v>4726</v>
      </c>
      <c r="F25" s="75">
        <v>43.329971577885765</v>
      </c>
      <c r="G25" s="82">
        <v>463</v>
      </c>
      <c r="H25" s="69">
        <v>9.796868387642828</v>
      </c>
      <c r="I25" s="80">
        <v>78</v>
      </c>
      <c r="J25" s="79">
        <v>25</v>
      </c>
      <c r="K25" s="69">
        <v>0.52898857384680498</v>
      </c>
      <c r="L25" s="83">
        <v>6</v>
      </c>
    </row>
    <row r="26" spans="2:12" ht="13.75" customHeight="1">
      <c r="B26" s="34"/>
      <c r="C26" s="44"/>
      <c r="D26" s="80"/>
      <c r="E26" s="81"/>
      <c r="F26" s="75"/>
      <c r="G26" s="82"/>
      <c r="H26" s="69"/>
      <c r="I26" s="82"/>
      <c r="J26" s="83"/>
      <c r="K26" s="69"/>
      <c r="L26" s="83"/>
    </row>
    <row r="27" spans="2:12" ht="13.75" customHeight="1">
      <c r="B27" s="170" t="s">
        <v>29</v>
      </c>
      <c r="C27" s="171"/>
      <c r="D27" s="77">
        <v>52859</v>
      </c>
      <c r="E27" s="78">
        <v>24295</v>
      </c>
      <c r="F27" s="75">
        <v>45.961898635993869</v>
      </c>
      <c r="G27" s="68">
        <v>2706</v>
      </c>
      <c r="H27" s="69">
        <v>11.138094258077794</v>
      </c>
      <c r="I27" s="68">
        <v>382</v>
      </c>
      <c r="J27" s="79">
        <v>231</v>
      </c>
      <c r="K27" s="69">
        <v>0.95081292447005561</v>
      </c>
      <c r="L27" s="79">
        <v>36</v>
      </c>
    </row>
    <row r="28" spans="2:12" ht="13.75" customHeight="1">
      <c r="B28" s="34"/>
      <c r="C28" s="44" t="s">
        <v>30</v>
      </c>
      <c r="D28" s="77">
        <v>397</v>
      </c>
      <c r="E28" s="78">
        <v>103</v>
      </c>
      <c r="F28" s="75">
        <v>25.94458438287154</v>
      </c>
      <c r="G28" s="68">
        <v>1</v>
      </c>
      <c r="H28" s="69">
        <v>0.970873786407767</v>
      </c>
      <c r="I28" s="68">
        <v>0</v>
      </c>
      <c r="J28" s="79">
        <v>0</v>
      </c>
      <c r="K28" s="69">
        <v>0</v>
      </c>
      <c r="L28" s="79">
        <v>1</v>
      </c>
    </row>
    <row r="29" spans="2:12" ht="13.75" customHeight="1">
      <c r="B29" s="36"/>
      <c r="C29" s="37" t="s">
        <v>31</v>
      </c>
      <c r="D29" s="77">
        <v>1647</v>
      </c>
      <c r="E29" s="78">
        <v>519</v>
      </c>
      <c r="F29" s="84">
        <v>31.51183970856102</v>
      </c>
      <c r="G29" s="68">
        <v>36</v>
      </c>
      <c r="H29" s="85">
        <v>6.9364161849710975</v>
      </c>
      <c r="I29" s="68">
        <v>5</v>
      </c>
      <c r="J29" s="79">
        <v>0</v>
      </c>
      <c r="K29" s="85">
        <v>0</v>
      </c>
      <c r="L29" s="79">
        <v>0</v>
      </c>
    </row>
    <row r="30" spans="2:12" ht="13.75" customHeight="1">
      <c r="B30" s="36"/>
      <c r="C30" s="37" t="s">
        <v>32</v>
      </c>
      <c r="D30" s="77">
        <v>2058</v>
      </c>
      <c r="E30" s="78">
        <v>665</v>
      </c>
      <c r="F30" s="84">
        <v>32.312925170068027</v>
      </c>
      <c r="G30" s="68">
        <v>52</v>
      </c>
      <c r="H30" s="85">
        <v>7.8195488721804507</v>
      </c>
      <c r="I30" s="68">
        <v>2</v>
      </c>
      <c r="J30" s="79">
        <v>1</v>
      </c>
      <c r="K30" s="69">
        <v>0.15037593984962405</v>
      </c>
      <c r="L30" s="79">
        <v>0</v>
      </c>
    </row>
    <row r="31" spans="2:12" ht="13.75" customHeight="1">
      <c r="B31" s="36"/>
      <c r="C31" s="40" t="s">
        <v>47</v>
      </c>
      <c r="D31" s="77">
        <v>1938</v>
      </c>
      <c r="E31" s="78">
        <v>988</v>
      </c>
      <c r="F31" s="84">
        <v>50.980392156862742</v>
      </c>
      <c r="G31" s="68">
        <v>82</v>
      </c>
      <c r="H31" s="85">
        <v>8.2995951417004044</v>
      </c>
      <c r="I31" s="68">
        <v>18</v>
      </c>
      <c r="J31" s="79">
        <v>5</v>
      </c>
      <c r="K31" s="85">
        <v>0.50607287449392713</v>
      </c>
      <c r="L31" s="79">
        <v>1</v>
      </c>
    </row>
    <row r="32" spans="2:12" ht="13.75" customHeight="1">
      <c r="B32" s="36"/>
      <c r="C32" s="37" t="s">
        <v>33</v>
      </c>
      <c r="D32" s="77">
        <v>514</v>
      </c>
      <c r="E32" s="78">
        <v>238</v>
      </c>
      <c r="F32" s="84">
        <v>46.303501945525291</v>
      </c>
      <c r="G32" s="68">
        <v>23</v>
      </c>
      <c r="H32" s="85">
        <v>9.6638655462184886</v>
      </c>
      <c r="I32" s="68">
        <v>3</v>
      </c>
      <c r="J32" s="79">
        <v>0</v>
      </c>
      <c r="K32" s="69">
        <v>0</v>
      </c>
      <c r="L32" s="79">
        <v>1</v>
      </c>
    </row>
    <row r="33" spans="2:12" ht="13.75" customHeight="1">
      <c r="B33" s="36"/>
      <c r="C33" s="37" t="s">
        <v>34</v>
      </c>
      <c r="D33" s="77">
        <v>337</v>
      </c>
      <c r="E33" s="78">
        <v>131</v>
      </c>
      <c r="F33" s="84">
        <v>38.872403560830861</v>
      </c>
      <c r="G33" s="68">
        <v>18</v>
      </c>
      <c r="H33" s="85">
        <v>13.740458015267174</v>
      </c>
      <c r="I33" s="68">
        <v>4</v>
      </c>
      <c r="J33" s="79">
        <v>0</v>
      </c>
      <c r="K33" s="85">
        <v>0</v>
      </c>
      <c r="L33" s="79">
        <v>0</v>
      </c>
    </row>
    <row r="34" spans="2:12" ht="13.75" customHeight="1">
      <c r="B34" s="34"/>
      <c r="C34" s="44" t="s">
        <v>35</v>
      </c>
      <c r="D34" s="77">
        <v>16188</v>
      </c>
      <c r="E34" s="78">
        <v>11494</v>
      </c>
      <c r="F34" s="75">
        <v>71.003212255992082</v>
      </c>
      <c r="G34" s="68">
        <v>1701</v>
      </c>
      <c r="H34" s="69">
        <v>14.799025578562729</v>
      </c>
      <c r="I34" s="68">
        <v>239</v>
      </c>
      <c r="J34" s="79">
        <v>190</v>
      </c>
      <c r="K34" s="69">
        <v>1.6530363668000696</v>
      </c>
      <c r="L34" s="79">
        <v>23</v>
      </c>
    </row>
    <row r="35" spans="2:12" ht="13.75" customHeight="1">
      <c r="B35" s="36"/>
      <c r="C35" s="37" t="s">
        <v>36</v>
      </c>
      <c r="D35" s="77">
        <v>1444</v>
      </c>
      <c r="E35" s="78">
        <v>474</v>
      </c>
      <c r="F35" s="84">
        <v>32.825484764542935</v>
      </c>
      <c r="G35" s="68">
        <v>91</v>
      </c>
      <c r="H35" s="85">
        <v>19.19831223628692</v>
      </c>
      <c r="I35" s="68">
        <v>10</v>
      </c>
      <c r="J35" s="79">
        <v>4</v>
      </c>
      <c r="K35" s="85">
        <v>0.8438818565400843</v>
      </c>
      <c r="L35" s="79">
        <v>0</v>
      </c>
    </row>
    <row r="36" spans="2:12" ht="13.75" customHeight="1">
      <c r="B36" s="36"/>
      <c r="C36" s="40" t="s">
        <v>48</v>
      </c>
      <c r="D36" s="77">
        <v>462</v>
      </c>
      <c r="E36" s="78">
        <v>177</v>
      </c>
      <c r="F36" s="84">
        <v>38.311688311688314</v>
      </c>
      <c r="G36" s="68">
        <v>38</v>
      </c>
      <c r="H36" s="85">
        <v>21.468926553672315</v>
      </c>
      <c r="I36" s="68">
        <v>6</v>
      </c>
      <c r="J36" s="79">
        <v>0</v>
      </c>
      <c r="K36" s="85">
        <v>0</v>
      </c>
      <c r="L36" s="79">
        <v>0</v>
      </c>
    </row>
    <row r="37" spans="2:12" ht="13.75" customHeight="1">
      <c r="B37" s="34"/>
      <c r="C37" s="41" t="s">
        <v>49</v>
      </c>
      <c r="D37" s="77">
        <v>519</v>
      </c>
      <c r="E37" s="78">
        <v>386</v>
      </c>
      <c r="F37" s="75">
        <v>74.373795761078995</v>
      </c>
      <c r="G37" s="68">
        <v>36</v>
      </c>
      <c r="H37" s="69">
        <v>9.3264248704663224</v>
      </c>
      <c r="I37" s="68">
        <v>11</v>
      </c>
      <c r="J37" s="79">
        <v>4</v>
      </c>
      <c r="K37" s="69">
        <v>1.0362694300518136</v>
      </c>
      <c r="L37" s="79">
        <v>2</v>
      </c>
    </row>
    <row r="38" spans="2:12" ht="13.75" customHeight="1">
      <c r="B38" s="36"/>
      <c r="C38" s="37" t="s">
        <v>37</v>
      </c>
      <c r="D38" s="77">
        <v>168</v>
      </c>
      <c r="E38" s="78">
        <v>51</v>
      </c>
      <c r="F38" s="84">
        <v>30.357142857142854</v>
      </c>
      <c r="G38" s="68">
        <v>2</v>
      </c>
      <c r="H38" s="85">
        <v>3.9215686274509802</v>
      </c>
      <c r="I38" s="68">
        <v>0</v>
      </c>
      <c r="J38" s="79">
        <v>0</v>
      </c>
      <c r="K38" s="85">
        <v>0</v>
      </c>
      <c r="L38" s="79">
        <v>0</v>
      </c>
    </row>
    <row r="39" spans="2:12" ht="13.75" customHeight="1">
      <c r="B39" s="38"/>
      <c r="C39" s="39" t="s">
        <v>28</v>
      </c>
      <c r="D39" s="86">
        <v>27187</v>
      </c>
      <c r="E39" s="87">
        <v>9069</v>
      </c>
      <c r="F39" s="88">
        <v>33.357854857100818</v>
      </c>
      <c r="G39" s="89">
        <v>626</v>
      </c>
      <c r="H39" s="90">
        <v>6.9026353511963832</v>
      </c>
      <c r="I39" s="86">
        <v>84</v>
      </c>
      <c r="J39" s="89">
        <v>27</v>
      </c>
      <c r="K39" s="90">
        <v>0.29771749917300694</v>
      </c>
      <c r="L39" s="89">
        <v>8</v>
      </c>
    </row>
    <row r="40" spans="2:12" s="58" customFormat="1" ht="14.3">
      <c r="B40" s="59" t="s">
        <v>38</v>
      </c>
      <c r="C40" s="142" t="s">
        <v>50</v>
      </c>
      <c r="D40" s="142"/>
      <c r="E40" s="142"/>
      <c r="F40" s="142"/>
      <c r="G40" s="142"/>
      <c r="H40" s="142"/>
      <c r="I40" s="142"/>
      <c r="J40" s="142"/>
      <c r="K40" s="142"/>
      <c r="L40" s="142"/>
    </row>
    <row r="41" spans="2:12" s="58" customFormat="1" ht="14.3">
      <c r="B41" s="61"/>
      <c r="C41" s="141" t="s">
        <v>51</v>
      </c>
      <c r="D41" s="141"/>
      <c r="E41" s="141"/>
      <c r="F41" s="141"/>
      <c r="G41" s="141"/>
      <c r="H41" s="141"/>
      <c r="I41" s="141"/>
      <c r="J41" s="141"/>
      <c r="K41" s="141"/>
      <c r="L41" s="141"/>
    </row>
    <row r="42" spans="2:12" s="58" customFormat="1" ht="13.75" customHeight="1">
      <c r="B42" s="57" t="s">
        <v>39</v>
      </c>
      <c r="C42" s="143" t="s">
        <v>40</v>
      </c>
      <c r="D42" s="143"/>
      <c r="E42" s="143"/>
      <c r="F42" s="143"/>
      <c r="G42" s="143"/>
      <c r="H42" s="143"/>
      <c r="I42" s="143"/>
      <c r="J42" s="143"/>
      <c r="K42" s="143"/>
      <c r="L42" s="143"/>
    </row>
    <row r="43" spans="2:12" s="58" customFormat="1" ht="13.75" customHeight="1">
      <c r="B43" s="57" t="s">
        <v>41</v>
      </c>
      <c r="C43" s="143" t="s">
        <v>42</v>
      </c>
      <c r="D43" s="143"/>
      <c r="E43" s="143"/>
      <c r="F43" s="143"/>
      <c r="G43" s="143"/>
      <c r="H43" s="143"/>
      <c r="I43" s="143"/>
      <c r="J43" s="143"/>
      <c r="K43" s="143"/>
      <c r="L43" s="143"/>
    </row>
    <row r="44" spans="2:12" s="58" customFormat="1" ht="13.75" customHeight="1">
      <c r="B44" s="57" t="s">
        <v>43</v>
      </c>
      <c r="C44" s="143" t="s">
        <v>44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57" t="s">
        <v>45</v>
      </c>
      <c r="C45" s="143" t="s">
        <v>46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ht="13.75" customHeight="1">
      <c r="B46" s="42"/>
      <c r="C46" s="42"/>
      <c r="D46" s="42"/>
      <c r="E46" s="42"/>
      <c r="F46" s="42"/>
      <c r="G46" s="42"/>
      <c r="H46" s="42"/>
      <c r="I46" s="42"/>
      <c r="J46" s="55"/>
      <c r="K46" s="56"/>
      <c r="L46" s="56"/>
    </row>
    <row r="47" spans="2:12" ht="13.75" customHeight="1">
      <c r="B47" s="42"/>
      <c r="F47" s="55"/>
      <c r="G47" s="55"/>
      <c r="H47" s="55"/>
      <c r="I47" s="55"/>
      <c r="J47" s="55"/>
      <c r="K47" s="56"/>
      <c r="L47" s="56"/>
    </row>
    <row r="49" spans="2:12" ht="13.75" customHeight="1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</sheetData>
  <mergeCells count="18">
    <mergeCell ref="B9:C9"/>
    <mergeCell ref="B27:C27"/>
    <mergeCell ref="C40:L40"/>
    <mergeCell ref="E3:E6"/>
    <mergeCell ref="F3:F6"/>
    <mergeCell ref="B3:C6"/>
    <mergeCell ref="D3:D6"/>
    <mergeCell ref="B7:C7"/>
    <mergeCell ref="G3:L3"/>
    <mergeCell ref="G4:H6"/>
    <mergeCell ref="J4:K6"/>
    <mergeCell ref="L4:L6"/>
    <mergeCell ref="I5:I6"/>
    <mergeCell ref="C41:L41"/>
    <mergeCell ref="C42:L42"/>
    <mergeCell ref="C43:L43"/>
    <mergeCell ref="C44:L44"/>
    <mergeCell ref="C45:L45"/>
  </mergeCells>
  <phoneticPr fontId="3"/>
  <pageMargins left="0.75" right="0.75" top="1" bottom="1" header="0.51200000000000001" footer="0.51200000000000001"/>
  <pageSetup paperSize="9" scale="66" orientation="portrait" horizontalDpi="200" verticalDpi="200" r:id="rId1"/>
  <headerFooter alignWithMargins="0">
    <oddHeader>&amp;L&amp;D　&amp;T&amp;R&amp;A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49"/>
  <sheetViews>
    <sheetView view="pageBreakPreview" zoomScaleNormal="100" zoomScaleSheetLayoutView="100" workbookViewId="0">
      <selection activeCell="A40" sqref="A40:XFD45"/>
    </sheetView>
  </sheetViews>
  <sheetFormatPr defaultColWidth="9" defaultRowHeight="14.3"/>
  <cols>
    <col min="1" max="1" width="3.625" style="1" customWidth="1"/>
    <col min="2" max="2" width="6.375" style="1" bestFit="1" customWidth="1"/>
    <col min="3" max="3" width="42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1" spans="2:12">
      <c r="B1" s="48"/>
      <c r="C1" s="2"/>
      <c r="D1" s="49"/>
      <c r="E1" s="48"/>
      <c r="F1" s="48"/>
      <c r="G1" s="48"/>
      <c r="H1" s="48"/>
      <c r="I1" s="48"/>
      <c r="J1" s="48"/>
      <c r="K1" s="48"/>
      <c r="L1" s="50"/>
    </row>
    <row r="2" spans="2:12" ht="14.95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54</v>
      </c>
    </row>
    <row r="3" spans="2:12" ht="14.95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>
      <c r="B7" s="166" t="s">
        <v>11</v>
      </c>
      <c r="C7" s="167"/>
      <c r="D7" s="65">
        <v>147983</v>
      </c>
      <c r="E7" s="66">
        <v>72068</v>
      </c>
      <c r="F7" s="67">
        <v>48.70018853516958</v>
      </c>
      <c r="G7" s="68">
        <v>9807</v>
      </c>
      <c r="H7" s="73">
        <v>13.607981350946329</v>
      </c>
      <c r="I7" s="66">
        <v>1586</v>
      </c>
      <c r="J7" s="70">
        <v>817</v>
      </c>
      <c r="K7" s="91">
        <v>1.1336515513126493</v>
      </c>
      <c r="L7" s="72">
        <v>138</v>
      </c>
    </row>
    <row r="8" spans="2:12">
      <c r="B8" s="51"/>
      <c r="C8" s="52"/>
      <c r="D8" s="73"/>
      <c r="E8" s="74"/>
      <c r="F8" s="75"/>
      <c r="G8" s="51"/>
      <c r="H8" s="73"/>
      <c r="I8" s="74"/>
      <c r="J8" s="54"/>
      <c r="K8" s="73"/>
      <c r="L8" s="76"/>
    </row>
    <row r="9" spans="2:12">
      <c r="B9" s="168" t="s">
        <v>12</v>
      </c>
      <c r="C9" s="169"/>
      <c r="D9" s="77">
        <v>91310</v>
      </c>
      <c r="E9" s="78">
        <v>46591</v>
      </c>
      <c r="F9" s="75">
        <v>51.025079399846675</v>
      </c>
      <c r="G9" s="68">
        <v>6842</v>
      </c>
      <c r="H9" s="73">
        <v>14.685239638556801</v>
      </c>
      <c r="I9" s="68">
        <v>1200</v>
      </c>
      <c r="J9" s="79">
        <v>593</v>
      </c>
      <c r="K9" s="73">
        <v>1.2727780043356012</v>
      </c>
      <c r="L9" s="79">
        <v>79</v>
      </c>
    </row>
    <row r="10" spans="2:12">
      <c r="B10" s="35"/>
      <c r="C10" s="43" t="s">
        <v>13</v>
      </c>
      <c r="D10" s="77">
        <v>424</v>
      </c>
      <c r="E10" s="78">
        <v>157</v>
      </c>
      <c r="F10" s="75">
        <v>37.028301886792455</v>
      </c>
      <c r="G10" s="68">
        <v>9</v>
      </c>
      <c r="H10" s="73">
        <v>5.7324840764331206</v>
      </c>
      <c r="I10" s="68">
        <v>1</v>
      </c>
      <c r="J10" s="79">
        <v>0</v>
      </c>
      <c r="K10" s="73"/>
      <c r="L10" s="79">
        <v>1</v>
      </c>
    </row>
    <row r="11" spans="2:12">
      <c r="B11" s="35"/>
      <c r="C11" s="43" t="s">
        <v>14</v>
      </c>
      <c r="D11" s="77">
        <v>1632</v>
      </c>
      <c r="E11" s="78">
        <v>635</v>
      </c>
      <c r="F11" s="75">
        <v>38.909313725490193</v>
      </c>
      <c r="G11" s="68">
        <v>65</v>
      </c>
      <c r="H11" s="73">
        <v>10.236220472440946</v>
      </c>
      <c r="I11" s="68">
        <v>10</v>
      </c>
      <c r="J11" s="79">
        <v>9</v>
      </c>
      <c r="K11" s="73">
        <v>1.4173228346456694</v>
      </c>
      <c r="L11" s="79">
        <v>3</v>
      </c>
    </row>
    <row r="12" spans="2:12">
      <c r="B12" s="35"/>
      <c r="C12" s="43" t="s">
        <v>15</v>
      </c>
      <c r="D12" s="77">
        <v>10584</v>
      </c>
      <c r="E12" s="78">
        <v>4990</v>
      </c>
      <c r="F12" s="75">
        <v>47.146636432350718</v>
      </c>
      <c r="G12" s="68">
        <v>465</v>
      </c>
      <c r="H12" s="73">
        <v>9.3186372745490988</v>
      </c>
      <c r="I12" s="68">
        <v>79</v>
      </c>
      <c r="J12" s="79">
        <v>30</v>
      </c>
      <c r="K12" s="73">
        <v>0.60120240480961928</v>
      </c>
      <c r="L12" s="79">
        <v>7</v>
      </c>
    </row>
    <row r="13" spans="2:12">
      <c r="B13" s="35"/>
      <c r="C13" s="43" t="s">
        <v>16</v>
      </c>
      <c r="D13" s="77">
        <v>3973</v>
      </c>
      <c r="E13" s="78">
        <v>2011</v>
      </c>
      <c r="F13" s="75">
        <v>50.616662471683874</v>
      </c>
      <c r="G13" s="68">
        <v>175</v>
      </c>
      <c r="H13" s="73">
        <v>8.7021382396817515</v>
      </c>
      <c r="I13" s="68">
        <v>29</v>
      </c>
      <c r="J13" s="79">
        <v>8</v>
      </c>
      <c r="K13" s="73">
        <v>0.39781203381402286</v>
      </c>
      <c r="L13" s="79">
        <v>2</v>
      </c>
    </row>
    <row r="14" spans="2:12">
      <c r="B14" s="35"/>
      <c r="C14" s="43" t="s">
        <v>17</v>
      </c>
      <c r="D14" s="77">
        <v>641</v>
      </c>
      <c r="E14" s="78">
        <v>321</v>
      </c>
      <c r="F14" s="75">
        <v>50.078003120124805</v>
      </c>
      <c r="G14" s="68">
        <v>30</v>
      </c>
      <c r="H14" s="73">
        <v>9.3457943925233646</v>
      </c>
      <c r="I14" s="68">
        <v>5</v>
      </c>
      <c r="J14" s="79">
        <v>2</v>
      </c>
      <c r="K14" s="73">
        <v>0.62305295950155759</v>
      </c>
      <c r="L14" s="79">
        <v>0</v>
      </c>
    </row>
    <row r="15" spans="2:12">
      <c r="B15" s="35"/>
      <c r="C15" s="43" t="s">
        <v>18</v>
      </c>
      <c r="D15" s="77">
        <v>42360</v>
      </c>
      <c r="E15" s="78">
        <v>24093</v>
      </c>
      <c r="F15" s="75">
        <v>56.876770538243626</v>
      </c>
      <c r="G15" s="68">
        <v>4247</v>
      </c>
      <c r="H15" s="73">
        <v>17.627526667496785</v>
      </c>
      <c r="I15" s="68">
        <v>763</v>
      </c>
      <c r="J15" s="79">
        <v>416</v>
      </c>
      <c r="K15" s="73">
        <v>1.7266425932843563</v>
      </c>
      <c r="L15" s="79">
        <v>44</v>
      </c>
    </row>
    <row r="16" spans="2:12">
      <c r="B16" s="35"/>
      <c r="C16" s="43" t="s">
        <v>19</v>
      </c>
      <c r="D16" s="77">
        <v>10071</v>
      </c>
      <c r="E16" s="78">
        <v>4685</v>
      </c>
      <c r="F16" s="75">
        <v>46.519710058584053</v>
      </c>
      <c r="G16" s="68">
        <v>691</v>
      </c>
      <c r="H16" s="73">
        <v>14.749199573105656</v>
      </c>
      <c r="I16" s="68">
        <v>125</v>
      </c>
      <c r="J16" s="79">
        <v>53</v>
      </c>
      <c r="K16" s="73">
        <v>1.1312700106723586</v>
      </c>
      <c r="L16" s="79">
        <v>7</v>
      </c>
    </row>
    <row r="17" spans="2:12">
      <c r="B17" s="35"/>
      <c r="C17" s="43" t="s">
        <v>20</v>
      </c>
      <c r="D17" s="77">
        <v>1376</v>
      </c>
      <c r="E17" s="78">
        <v>814</v>
      </c>
      <c r="F17" s="75">
        <v>59.156976744186053</v>
      </c>
      <c r="G17" s="68">
        <v>146</v>
      </c>
      <c r="H17" s="73">
        <v>17.936117936117935</v>
      </c>
      <c r="I17" s="68">
        <v>35</v>
      </c>
      <c r="J17" s="79">
        <v>11</v>
      </c>
      <c r="K17" s="73">
        <v>1.3513513513513513</v>
      </c>
      <c r="L17" s="79">
        <v>1</v>
      </c>
    </row>
    <row r="18" spans="2:12">
      <c r="B18" s="35"/>
      <c r="C18" s="43" t="s">
        <v>21</v>
      </c>
      <c r="D18" s="77">
        <v>2222</v>
      </c>
      <c r="E18" s="78">
        <v>1100</v>
      </c>
      <c r="F18" s="75">
        <v>49.504950495049506</v>
      </c>
      <c r="G18" s="68">
        <v>189</v>
      </c>
      <c r="H18" s="73">
        <v>17.181818181818183</v>
      </c>
      <c r="I18" s="68">
        <v>29</v>
      </c>
      <c r="J18" s="79">
        <v>3</v>
      </c>
      <c r="K18" s="73">
        <v>0.27272727272727271</v>
      </c>
      <c r="L18" s="79">
        <v>0</v>
      </c>
    </row>
    <row r="19" spans="2:12">
      <c r="B19" s="35"/>
      <c r="C19" s="43" t="s">
        <v>22</v>
      </c>
      <c r="D19" s="77">
        <v>568</v>
      </c>
      <c r="E19" s="78">
        <v>176</v>
      </c>
      <c r="F19" s="75">
        <v>30.985915492957744</v>
      </c>
      <c r="G19" s="68">
        <v>19</v>
      </c>
      <c r="H19" s="73">
        <v>10.795454545454545</v>
      </c>
      <c r="I19" s="68">
        <v>5</v>
      </c>
      <c r="J19" s="79">
        <v>3</v>
      </c>
      <c r="K19" s="73">
        <v>1.7045454545454546</v>
      </c>
      <c r="L19" s="79">
        <v>0</v>
      </c>
    </row>
    <row r="20" spans="2:12">
      <c r="B20" s="35"/>
      <c r="C20" s="43" t="s">
        <v>23</v>
      </c>
      <c r="D20" s="77">
        <v>1435</v>
      </c>
      <c r="E20" s="78">
        <v>526</v>
      </c>
      <c r="F20" s="75">
        <v>36.655052264808361</v>
      </c>
      <c r="G20" s="68">
        <v>64</v>
      </c>
      <c r="H20" s="73">
        <v>12.167300380228138</v>
      </c>
      <c r="I20" s="68">
        <v>17</v>
      </c>
      <c r="J20" s="79">
        <v>6</v>
      </c>
      <c r="K20" s="73">
        <v>1.1406844106463878</v>
      </c>
      <c r="L20" s="79">
        <v>1</v>
      </c>
    </row>
    <row r="21" spans="2:12">
      <c r="B21" s="35"/>
      <c r="C21" s="43" t="s">
        <v>24</v>
      </c>
      <c r="D21" s="77">
        <v>414</v>
      </c>
      <c r="E21" s="78">
        <v>144</v>
      </c>
      <c r="F21" s="75">
        <v>34.782608695652172</v>
      </c>
      <c r="G21" s="68">
        <v>18</v>
      </c>
      <c r="H21" s="73">
        <v>12.5</v>
      </c>
      <c r="I21" s="68">
        <v>6</v>
      </c>
      <c r="J21" s="79">
        <v>2</v>
      </c>
      <c r="K21" s="73">
        <v>1.3888888888888888</v>
      </c>
      <c r="L21" s="79">
        <v>0</v>
      </c>
    </row>
    <row r="22" spans="2:12">
      <c r="B22" s="35"/>
      <c r="C22" s="43" t="s">
        <v>25</v>
      </c>
      <c r="D22" s="77">
        <v>113</v>
      </c>
      <c r="E22" s="78">
        <v>30</v>
      </c>
      <c r="F22" s="75">
        <v>26.548672566371685</v>
      </c>
      <c r="G22" s="68">
        <v>0</v>
      </c>
      <c r="H22" s="73"/>
      <c r="I22" s="68">
        <v>0</v>
      </c>
      <c r="J22" s="79">
        <v>0</v>
      </c>
      <c r="K22" s="73"/>
      <c r="L22" s="79">
        <v>0</v>
      </c>
    </row>
    <row r="23" spans="2:12">
      <c r="B23" s="35"/>
      <c r="C23" s="43" t="s">
        <v>26</v>
      </c>
      <c r="D23" s="77">
        <v>2631</v>
      </c>
      <c r="E23" s="78">
        <v>1312</v>
      </c>
      <c r="F23" s="75">
        <v>49.866970733561381</v>
      </c>
      <c r="G23" s="68">
        <v>167</v>
      </c>
      <c r="H23" s="73">
        <v>12.728658536585368</v>
      </c>
      <c r="I23" s="68">
        <v>25</v>
      </c>
      <c r="J23" s="79">
        <v>21</v>
      </c>
      <c r="K23" s="73">
        <v>1.6006097560975612</v>
      </c>
      <c r="L23" s="79">
        <v>5</v>
      </c>
    </row>
    <row r="24" spans="2:12">
      <c r="B24" s="35"/>
      <c r="C24" s="43" t="s">
        <v>27</v>
      </c>
      <c r="D24" s="77">
        <v>977</v>
      </c>
      <c r="E24" s="78">
        <v>641</v>
      </c>
      <c r="F24" s="75">
        <v>65.609007164790185</v>
      </c>
      <c r="G24" s="68">
        <v>48</v>
      </c>
      <c r="H24" s="73">
        <v>7.4882995319812791</v>
      </c>
      <c r="I24" s="68">
        <v>10</v>
      </c>
      <c r="J24" s="79">
        <v>5</v>
      </c>
      <c r="K24" s="73">
        <v>0.78003120124804992</v>
      </c>
      <c r="L24" s="79">
        <v>2</v>
      </c>
    </row>
    <row r="25" spans="2:12">
      <c r="B25" s="34"/>
      <c r="C25" s="44" t="s">
        <v>28</v>
      </c>
      <c r="D25" s="80">
        <v>11889</v>
      </c>
      <c r="E25" s="81">
        <v>4956</v>
      </c>
      <c r="F25" s="75">
        <v>41.685591723441838</v>
      </c>
      <c r="G25" s="82">
        <v>509</v>
      </c>
      <c r="H25" s="73">
        <v>10.270379338175948</v>
      </c>
      <c r="I25" s="80">
        <v>61</v>
      </c>
      <c r="J25" s="79">
        <v>24</v>
      </c>
      <c r="K25" s="73">
        <v>0.48426150121065376</v>
      </c>
      <c r="L25" s="83">
        <v>6</v>
      </c>
    </row>
    <row r="26" spans="2:12">
      <c r="B26" s="34"/>
      <c r="C26" s="44"/>
      <c r="D26" s="80"/>
      <c r="E26" s="81"/>
      <c r="F26" s="75"/>
      <c r="G26" s="82"/>
      <c r="H26" s="73"/>
      <c r="I26" s="82"/>
      <c r="J26" s="83"/>
      <c r="K26" s="73"/>
      <c r="L26" s="83"/>
    </row>
    <row r="27" spans="2:12">
      <c r="B27" s="170" t="s">
        <v>29</v>
      </c>
      <c r="C27" s="171"/>
      <c r="D27" s="77">
        <v>56673</v>
      </c>
      <c r="E27" s="78">
        <v>25477</v>
      </c>
      <c r="F27" s="75">
        <v>44.954387450814323</v>
      </c>
      <c r="G27" s="68">
        <v>2965</v>
      </c>
      <c r="H27" s="73">
        <v>11.637947953055697</v>
      </c>
      <c r="I27" s="68">
        <v>386</v>
      </c>
      <c r="J27" s="79">
        <v>224</v>
      </c>
      <c r="K27" s="73">
        <v>0.87922439847705769</v>
      </c>
      <c r="L27" s="79">
        <v>59</v>
      </c>
    </row>
    <row r="28" spans="2:12">
      <c r="B28" s="34"/>
      <c r="C28" s="44" t="s">
        <v>30</v>
      </c>
      <c r="D28" s="77">
        <v>257</v>
      </c>
      <c r="E28" s="78">
        <v>42</v>
      </c>
      <c r="F28" s="75">
        <v>16.342412451361866</v>
      </c>
      <c r="G28" s="68">
        <v>1</v>
      </c>
      <c r="H28" s="73">
        <v>2.3809523809523809</v>
      </c>
      <c r="I28" s="68">
        <v>0</v>
      </c>
      <c r="J28" s="79">
        <v>0</v>
      </c>
      <c r="K28" s="73"/>
      <c r="L28" s="79">
        <v>0</v>
      </c>
    </row>
    <row r="29" spans="2:12">
      <c r="B29" s="36"/>
      <c r="C29" s="37" t="s">
        <v>31</v>
      </c>
      <c r="D29" s="77">
        <v>1692</v>
      </c>
      <c r="E29" s="78">
        <v>529</v>
      </c>
      <c r="F29" s="84">
        <v>31.264775413711583</v>
      </c>
      <c r="G29" s="68">
        <v>54</v>
      </c>
      <c r="H29" s="92">
        <v>10.207939508506616</v>
      </c>
      <c r="I29" s="68">
        <v>7</v>
      </c>
      <c r="J29" s="79">
        <v>0</v>
      </c>
      <c r="K29" s="92"/>
      <c r="L29" s="79">
        <v>0</v>
      </c>
    </row>
    <row r="30" spans="2:12">
      <c r="B30" s="36"/>
      <c r="C30" s="37" t="s">
        <v>32</v>
      </c>
      <c r="D30" s="77">
        <v>2264</v>
      </c>
      <c r="E30" s="78">
        <v>635</v>
      </c>
      <c r="F30" s="84">
        <v>28.047703180212014</v>
      </c>
      <c r="G30" s="68">
        <v>47</v>
      </c>
      <c r="H30" s="92">
        <v>7.4015748031496065</v>
      </c>
      <c r="I30" s="68">
        <v>3</v>
      </c>
      <c r="J30" s="79">
        <v>0</v>
      </c>
      <c r="K30" s="73"/>
      <c r="L30" s="79">
        <v>0</v>
      </c>
    </row>
    <row r="31" spans="2:12">
      <c r="B31" s="36"/>
      <c r="C31" s="40" t="s">
        <v>47</v>
      </c>
      <c r="D31" s="77">
        <v>2135</v>
      </c>
      <c r="E31" s="78">
        <v>995</v>
      </c>
      <c r="F31" s="84">
        <v>46.604215456674474</v>
      </c>
      <c r="G31" s="68">
        <v>73</v>
      </c>
      <c r="H31" s="92">
        <v>7.3366834170854274</v>
      </c>
      <c r="I31" s="68">
        <v>15</v>
      </c>
      <c r="J31" s="79">
        <v>3</v>
      </c>
      <c r="K31" s="92">
        <v>0.30150753768844224</v>
      </c>
      <c r="L31" s="79">
        <v>1</v>
      </c>
    </row>
    <row r="32" spans="2:12">
      <c r="B32" s="36"/>
      <c r="C32" s="37" t="s">
        <v>33</v>
      </c>
      <c r="D32" s="77">
        <v>552</v>
      </c>
      <c r="E32" s="78">
        <v>248</v>
      </c>
      <c r="F32" s="84">
        <v>44.927536231884055</v>
      </c>
      <c r="G32" s="68">
        <v>25</v>
      </c>
      <c r="H32" s="92">
        <v>10.080645161290322</v>
      </c>
      <c r="I32" s="68">
        <v>0</v>
      </c>
      <c r="J32" s="79">
        <v>0</v>
      </c>
      <c r="K32" s="73"/>
      <c r="L32" s="79">
        <v>2</v>
      </c>
    </row>
    <row r="33" spans="2:12">
      <c r="B33" s="36"/>
      <c r="C33" s="37" t="s">
        <v>34</v>
      </c>
      <c r="D33" s="77">
        <v>288</v>
      </c>
      <c r="E33" s="78">
        <v>97</v>
      </c>
      <c r="F33" s="84">
        <v>33.680555555555557</v>
      </c>
      <c r="G33" s="68">
        <v>15</v>
      </c>
      <c r="H33" s="92">
        <v>15.463917525773196</v>
      </c>
      <c r="I33" s="68">
        <v>3</v>
      </c>
      <c r="J33" s="79">
        <v>0</v>
      </c>
      <c r="K33" s="92"/>
      <c r="L33" s="79">
        <v>1</v>
      </c>
    </row>
    <row r="34" spans="2:12">
      <c r="B34" s="34"/>
      <c r="C34" s="44" t="s">
        <v>35</v>
      </c>
      <c r="D34" s="77">
        <v>16128</v>
      </c>
      <c r="E34" s="78">
        <v>11583</v>
      </c>
      <c r="F34" s="75">
        <v>71.819196428571431</v>
      </c>
      <c r="G34" s="68">
        <v>1883</v>
      </c>
      <c r="H34" s="73">
        <v>16.256582923249589</v>
      </c>
      <c r="I34" s="68">
        <v>241</v>
      </c>
      <c r="J34" s="79">
        <v>185</v>
      </c>
      <c r="K34" s="73">
        <v>1.5971682638349305</v>
      </c>
      <c r="L34" s="79">
        <v>32</v>
      </c>
    </row>
    <row r="35" spans="2:12">
      <c r="B35" s="36"/>
      <c r="C35" s="37" t="s">
        <v>36</v>
      </c>
      <c r="D35" s="77">
        <v>2078</v>
      </c>
      <c r="E35" s="78">
        <v>677</v>
      </c>
      <c r="F35" s="84">
        <v>32.579403272377292</v>
      </c>
      <c r="G35" s="68">
        <v>143</v>
      </c>
      <c r="H35" s="92">
        <v>21.122599704579027</v>
      </c>
      <c r="I35" s="68">
        <v>14</v>
      </c>
      <c r="J35" s="79">
        <v>6</v>
      </c>
      <c r="K35" s="92">
        <v>0.88626292466765144</v>
      </c>
      <c r="L35" s="79">
        <v>2</v>
      </c>
    </row>
    <row r="36" spans="2:12">
      <c r="B36" s="36"/>
      <c r="C36" s="40" t="s">
        <v>48</v>
      </c>
      <c r="D36" s="77">
        <v>603</v>
      </c>
      <c r="E36" s="78">
        <v>235</v>
      </c>
      <c r="F36" s="84">
        <v>38.971807628524047</v>
      </c>
      <c r="G36" s="68">
        <v>45</v>
      </c>
      <c r="H36" s="92">
        <v>19.148936170212764</v>
      </c>
      <c r="I36" s="68">
        <v>7</v>
      </c>
      <c r="J36" s="79">
        <v>1</v>
      </c>
      <c r="K36" s="92">
        <v>0.42553191489361702</v>
      </c>
      <c r="L36" s="79">
        <v>1</v>
      </c>
    </row>
    <row r="37" spans="2:12">
      <c r="B37" s="34"/>
      <c r="C37" s="41" t="s">
        <v>49</v>
      </c>
      <c r="D37" s="77">
        <v>774</v>
      </c>
      <c r="E37" s="78">
        <v>516</v>
      </c>
      <c r="F37" s="75">
        <v>66.666666666666657</v>
      </c>
      <c r="G37" s="68">
        <v>96</v>
      </c>
      <c r="H37" s="73">
        <v>18.604651162790699</v>
      </c>
      <c r="I37" s="68">
        <v>19</v>
      </c>
      <c r="J37" s="79">
        <v>5</v>
      </c>
      <c r="K37" s="73">
        <v>0.96899224806201545</v>
      </c>
      <c r="L37" s="79">
        <v>2</v>
      </c>
    </row>
    <row r="38" spans="2:12">
      <c r="B38" s="36"/>
      <c r="C38" s="37" t="s">
        <v>37</v>
      </c>
      <c r="D38" s="77">
        <v>159</v>
      </c>
      <c r="E38" s="78">
        <v>43</v>
      </c>
      <c r="F38" s="84">
        <v>27.044025157232703</v>
      </c>
      <c r="G38" s="68">
        <v>3</v>
      </c>
      <c r="H38" s="92">
        <v>6.9767441860465116</v>
      </c>
      <c r="I38" s="68">
        <v>0</v>
      </c>
      <c r="J38" s="79">
        <v>0</v>
      </c>
      <c r="K38" s="92"/>
      <c r="L38" s="79">
        <v>0</v>
      </c>
    </row>
    <row r="39" spans="2:12">
      <c r="B39" s="38"/>
      <c r="C39" s="39" t="s">
        <v>28</v>
      </c>
      <c r="D39" s="86">
        <v>29743</v>
      </c>
      <c r="E39" s="87">
        <v>9877</v>
      </c>
      <c r="F39" s="88">
        <v>33.207813603200755</v>
      </c>
      <c r="G39" s="89">
        <v>580</v>
      </c>
      <c r="H39" s="93">
        <v>5.8722284094360635</v>
      </c>
      <c r="I39" s="86">
        <v>77</v>
      </c>
      <c r="J39" s="89">
        <v>24</v>
      </c>
      <c r="K39" s="93">
        <v>0.24298876176976816</v>
      </c>
      <c r="L39" s="89">
        <v>18</v>
      </c>
    </row>
    <row r="40" spans="2:12" s="58" customFormat="1">
      <c r="B40" s="59" t="s">
        <v>38</v>
      </c>
      <c r="C40" s="142" t="s">
        <v>50</v>
      </c>
      <c r="D40" s="142"/>
      <c r="E40" s="142"/>
      <c r="F40" s="142"/>
      <c r="G40" s="142"/>
      <c r="H40" s="142"/>
      <c r="I40" s="142"/>
      <c r="J40" s="142"/>
      <c r="K40" s="142"/>
      <c r="L40" s="142"/>
    </row>
    <row r="41" spans="2:12" s="58" customFormat="1">
      <c r="B41" s="61"/>
      <c r="C41" s="141" t="s">
        <v>51</v>
      </c>
      <c r="D41" s="141"/>
      <c r="E41" s="141"/>
      <c r="F41" s="141"/>
      <c r="G41" s="141"/>
      <c r="H41" s="141"/>
      <c r="I41" s="141"/>
      <c r="J41" s="141"/>
      <c r="K41" s="141"/>
      <c r="L41" s="141"/>
    </row>
    <row r="42" spans="2:12" s="58" customFormat="1" ht="13.75" customHeight="1">
      <c r="B42" s="57" t="s">
        <v>39</v>
      </c>
      <c r="C42" s="143" t="s">
        <v>40</v>
      </c>
      <c r="D42" s="143"/>
      <c r="E42" s="143"/>
      <c r="F42" s="143"/>
      <c r="G42" s="143"/>
      <c r="H42" s="143"/>
      <c r="I42" s="143"/>
      <c r="J42" s="143"/>
      <c r="K42" s="143"/>
      <c r="L42" s="143"/>
    </row>
    <row r="43" spans="2:12" s="58" customFormat="1" ht="13.75" customHeight="1">
      <c r="B43" s="57" t="s">
        <v>41</v>
      </c>
      <c r="C43" s="143" t="s">
        <v>42</v>
      </c>
      <c r="D43" s="143"/>
      <c r="E43" s="143"/>
      <c r="F43" s="143"/>
      <c r="G43" s="143"/>
      <c r="H43" s="143"/>
      <c r="I43" s="143"/>
      <c r="J43" s="143"/>
      <c r="K43" s="143"/>
      <c r="L43" s="143"/>
    </row>
    <row r="44" spans="2:12" s="58" customFormat="1" ht="13.75" customHeight="1">
      <c r="B44" s="57" t="s">
        <v>43</v>
      </c>
      <c r="C44" s="143" t="s">
        <v>44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57" t="s">
        <v>45</v>
      </c>
      <c r="C45" s="143" t="s">
        <v>46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>
      <c r="B46" s="42"/>
      <c r="C46" s="42"/>
      <c r="D46" s="42"/>
      <c r="E46" s="42"/>
      <c r="F46" s="42"/>
      <c r="G46" s="42"/>
      <c r="H46" s="42"/>
      <c r="I46" s="42"/>
      <c r="J46" s="55"/>
      <c r="K46" s="56"/>
      <c r="L46" s="56"/>
    </row>
    <row r="47" spans="2:12">
      <c r="B47" s="42"/>
      <c r="F47" s="55"/>
      <c r="G47" s="55"/>
      <c r="H47" s="55"/>
      <c r="I47" s="55"/>
      <c r="J47" s="55"/>
      <c r="K47" s="56"/>
      <c r="L47" s="56"/>
    </row>
    <row r="49" spans="2:1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</sheetData>
  <mergeCells count="18">
    <mergeCell ref="B9:C9"/>
    <mergeCell ref="B27:C27"/>
    <mergeCell ref="C40:L40"/>
    <mergeCell ref="E3:E6"/>
    <mergeCell ref="F3:F6"/>
    <mergeCell ref="B3:C6"/>
    <mergeCell ref="D3:D6"/>
    <mergeCell ref="B7:C7"/>
    <mergeCell ref="G3:L3"/>
    <mergeCell ref="G4:H6"/>
    <mergeCell ref="J4:K6"/>
    <mergeCell ref="L4:L6"/>
    <mergeCell ref="I5:I6"/>
    <mergeCell ref="C41:L41"/>
    <mergeCell ref="C42:L42"/>
    <mergeCell ref="C43:L43"/>
    <mergeCell ref="C44:L44"/>
    <mergeCell ref="C45:L45"/>
  </mergeCells>
  <phoneticPr fontId="3"/>
  <pageMargins left="0.75" right="0.75" top="1" bottom="1" header="0.51200000000000001" footer="0.51200000000000001"/>
  <pageSetup paperSize="9" scale="60" orientation="portrait" horizontalDpi="200" verticalDpi="200" r:id="rId1"/>
  <headerFooter alignWithMargins="0">
    <oddHeader>&amp;L&amp;D　&amp;T&amp;R&amp;A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46"/>
  <sheetViews>
    <sheetView view="pageBreakPreview" topLeftCell="A13" zoomScaleNormal="100" zoomScaleSheetLayoutView="100" workbookViewId="0">
      <selection activeCell="C33" sqref="C33"/>
    </sheetView>
  </sheetViews>
  <sheetFormatPr defaultColWidth="9" defaultRowHeight="14.3"/>
  <cols>
    <col min="1" max="1" width="3.625" style="1" customWidth="1"/>
    <col min="2" max="2" width="6.375" style="1" bestFit="1" customWidth="1"/>
    <col min="3" max="3" width="42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1" spans="2:12">
      <c r="B1" s="48"/>
      <c r="C1" s="2"/>
      <c r="D1" s="49"/>
      <c r="E1" s="48"/>
      <c r="F1" s="48"/>
      <c r="G1" s="48"/>
      <c r="H1" s="48"/>
      <c r="I1" s="48"/>
      <c r="J1" s="48"/>
      <c r="K1" s="48"/>
      <c r="L1" s="50"/>
    </row>
    <row r="2" spans="2:12" ht="14.95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55</v>
      </c>
    </row>
    <row r="3" spans="2:12" ht="14.95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>
      <c r="B7" s="166" t="s">
        <v>11</v>
      </c>
      <c r="C7" s="167"/>
      <c r="D7" s="65">
        <v>156355</v>
      </c>
      <c r="E7" s="66">
        <v>75670</v>
      </c>
      <c r="F7" s="67">
        <v>48.396277701384669</v>
      </c>
      <c r="G7" s="68">
        <v>10746</v>
      </c>
      <c r="H7" s="73">
        <v>14.201136513809963</v>
      </c>
      <c r="I7" s="66">
        <v>1783</v>
      </c>
      <c r="J7" s="70">
        <v>945</v>
      </c>
      <c r="K7" s="91">
        <v>1.2488436632747455</v>
      </c>
      <c r="L7" s="72">
        <v>133</v>
      </c>
    </row>
    <row r="8" spans="2:12">
      <c r="B8" s="51"/>
      <c r="C8" s="52"/>
      <c r="D8" s="73"/>
      <c r="E8" s="74"/>
      <c r="F8" s="75"/>
      <c r="G8" s="51"/>
      <c r="H8" s="73"/>
      <c r="I8" s="74"/>
      <c r="J8" s="54"/>
      <c r="K8" s="73"/>
      <c r="L8" s="76"/>
    </row>
    <row r="9" spans="2:12">
      <c r="B9" s="168" t="s">
        <v>12</v>
      </c>
      <c r="C9" s="169"/>
      <c r="D9" s="77">
        <v>96529</v>
      </c>
      <c r="E9" s="78">
        <v>49332</v>
      </c>
      <c r="F9" s="75">
        <v>51.105885277999349</v>
      </c>
      <c r="G9" s="68">
        <v>7674</v>
      </c>
      <c r="H9" s="73">
        <v>15.555825833130625</v>
      </c>
      <c r="I9" s="68">
        <v>1372</v>
      </c>
      <c r="J9" s="79">
        <v>708</v>
      </c>
      <c r="K9" s="73">
        <v>1.4351739236195573</v>
      </c>
      <c r="L9" s="79">
        <v>76</v>
      </c>
    </row>
    <row r="10" spans="2:12">
      <c r="B10" s="35"/>
      <c r="C10" s="43" t="s">
        <v>13</v>
      </c>
      <c r="D10" s="77">
        <v>533</v>
      </c>
      <c r="E10" s="78">
        <v>207</v>
      </c>
      <c r="F10" s="75">
        <v>38.83677298311445</v>
      </c>
      <c r="G10" s="68">
        <v>10</v>
      </c>
      <c r="H10" s="73">
        <v>4.8309178743961354</v>
      </c>
      <c r="I10" s="68">
        <v>0</v>
      </c>
      <c r="J10" s="79">
        <v>0</v>
      </c>
      <c r="K10" s="73"/>
      <c r="L10" s="79">
        <v>0</v>
      </c>
    </row>
    <row r="11" spans="2:12">
      <c r="B11" s="35"/>
      <c r="C11" s="43" t="s">
        <v>14</v>
      </c>
      <c r="D11" s="77">
        <v>2060</v>
      </c>
      <c r="E11" s="78">
        <v>841</v>
      </c>
      <c r="F11" s="75">
        <v>40.825242718446603</v>
      </c>
      <c r="G11" s="68">
        <v>101</v>
      </c>
      <c r="H11" s="73">
        <v>12.009512485136742</v>
      </c>
      <c r="I11" s="68">
        <v>21</v>
      </c>
      <c r="J11" s="79">
        <v>26</v>
      </c>
      <c r="K11" s="73">
        <v>3.0915576694411415</v>
      </c>
      <c r="L11" s="79">
        <v>1</v>
      </c>
    </row>
    <row r="12" spans="2:12">
      <c r="B12" s="35"/>
      <c r="C12" s="43" t="s">
        <v>15</v>
      </c>
      <c r="D12" s="77">
        <v>11006</v>
      </c>
      <c r="E12" s="78">
        <v>5185</v>
      </c>
      <c r="F12" s="75">
        <v>47.110666908958748</v>
      </c>
      <c r="G12" s="68">
        <v>545</v>
      </c>
      <c r="H12" s="73">
        <v>10.511089681774349</v>
      </c>
      <c r="I12" s="68">
        <v>107</v>
      </c>
      <c r="J12" s="79">
        <v>23</v>
      </c>
      <c r="K12" s="73">
        <v>0.44358727097396333</v>
      </c>
      <c r="L12" s="79">
        <v>9</v>
      </c>
    </row>
    <row r="13" spans="2:12">
      <c r="B13" s="35"/>
      <c r="C13" s="43" t="s">
        <v>16</v>
      </c>
      <c r="D13" s="77">
        <v>3985</v>
      </c>
      <c r="E13" s="78">
        <v>1929</v>
      </c>
      <c r="F13" s="75">
        <v>48.406524466750312</v>
      </c>
      <c r="G13" s="68">
        <v>189</v>
      </c>
      <c r="H13" s="73">
        <v>9.79782270606532</v>
      </c>
      <c r="I13" s="68">
        <v>20</v>
      </c>
      <c r="J13" s="79">
        <v>5</v>
      </c>
      <c r="K13" s="73">
        <v>0.25920165889061691</v>
      </c>
      <c r="L13" s="79">
        <v>5</v>
      </c>
    </row>
    <row r="14" spans="2:12">
      <c r="B14" s="35"/>
      <c r="C14" s="43" t="s">
        <v>17</v>
      </c>
      <c r="D14" s="77">
        <v>611</v>
      </c>
      <c r="E14" s="78">
        <v>322</v>
      </c>
      <c r="F14" s="75">
        <v>52.700490998363335</v>
      </c>
      <c r="G14" s="68">
        <v>35</v>
      </c>
      <c r="H14" s="73">
        <v>10.869565217391303</v>
      </c>
      <c r="I14" s="68">
        <v>6</v>
      </c>
      <c r="J14" s="79">
        <v>3</v>
      </c>
      <c r="K14" s="73">
        <v>0.93167701863354035</v>
      </c>
      <c r="L14" s="79">
        <v>2</v>
      </c>
    </row>
    <row r="15" spans="2:12">
      <c r="B15" s="35"/>
      <c r="C15" s="43" t="s">
        <v>18</v>
      </c>
      <c r="D15" s="77">
        <v>43170</v>
      </c>
      <c r="E15" s="78">
        <v>24645</v>
      </c>
      <c r="F15" s="75">
        <v>57.088255733148017</v>
      </c>
      <c r="G15" s="68">
        <v>4453</v>
      </c>
      <c r="H15" s="73">
        <v>18.068573747210387</v>
      </c>
      <c r="I15" s="68">
        <v>856</v>
      </c>
      <c r="J15" s="79">
        <v>493</v>
      </c>
      <c r="K15" s="73">
        <v>2.000405761817813</v>
      </c>
      <c r="L15" s="79">
        <v>39</v>
      </c>
    </row>
    <row r="16" spans="2:12">
      <c r="B16" s="35"/>
      <c r="C16" s="43" t="s">
        <v>19</v>
      </c>
      <c r="D16" s="77">
        <v>12111</v>
      </c>
      <c r="E16" s="78">
        <v>5676</v>
      </c>
      <c r="F16" s="75">
        <v>46.866485013623979</v>
      </c>
      <c r="G16" s="68">
        <v>925</v>
      </c>
      <c r="H16" s="73">
        <v>16.296687808315717</v>
      </c>
      <c r="I16" s="68">
        <v>148</v>
      </c>
      <c r="J16" s="79">
        <v>72</v>
      </c>
      <c r="K16" s="73">
        <v>1.2684989429175477</v>
      </c>
      <c r="L16" s="79">
        <v>8</v>
      </c>
    </row>
    <row r="17" spans="2:12">
      <c r="B17" s="35"/>
      <c r="C17" s="43" t="s">
        <v>20</v>
      </c>
      <c r="D17" s="77">
        <v>1594</v>
      </c>
      <c r="E17" s="78">
        <v>911</v>
      </c>
      <c r="F17" s="75">
        <v>57.151819322459218</v>
      </c>
      <c r="G17" s="68">
        <v>170</v>
      </c>
      <c r="H17" s="73">
        <v>18.660812294182218</v>
      </c>
      <c r="I17" s="68">
        <v>34</v>
      </c>
      <c r="J17" s="79">
        <v>1</v>
      </c>
      <c r="K17" s="73">
        <v>0.10976948408342481</v>
      </c>
      <c r="L17" s="79">
        <v>1</v>
      </c>
    </row>
    <row r="18" spans="2:12">
      <c r="B18" s="35"/>
      <c r="C18" s="43" t="s">
        <v>21</v>
      </c>
      <c r="D18" s="77">
        <v>2348</v>
      </c>
      <c r="E18" s="78">
        <v>1189</v>
      </c>
      <c r="F18" s="75">
        <v>50.638841567291315</v>
      </c>
      <c r="G18" s="68">
        <v>226</v>
      </c>
      <c r="H18" s="73">
        <v>19.007569386038686</v>
      </c>
      <c r="I18" s="68">
        <v>28</v>
      </c>
      <c r="J18" s="79">
        <v>19</v>
      </c>
      <c r="K18" s="73">
        <v>1.5979814970563497</v>
      </c>
      <c r="L18" s="79">
        <v>2</v>
      </c>
    </row>
    <row r="19" spans="2:12">
      <c r="B19" s="35"/>
      <c r="C19" s="43" t="s">
        <v>22</v>
      </c>
      <c r="D19" s="77">
        <v>662</v>
      </c>
      <c r="E19" s="78">
        <v>228</v>
      </c>
      <c r="F19" s="75">
        <v>34.44108761329305</v>
      </c>
      <c r="G19" s="68">
        <v>20</v>
      </c>
      <c r="H19" s="73">
        <v>8.7719298245614041</v>
      </c>
      <c r="I19" s="68">
        <v>4</v>
      </c>
      <c r="J19" s="79">
        <v>3</v>
      </c>
      <c r="K19" s="73">
        <v>1.3157894736842106</v>
      </c>
      <c r="L19" s="79">
        <v>0</v>
      </c>
    </row>
    <row r="20" spans="2:12">
      <c r="B20" s="35"/>
      <c r="C20" s="43" t="s">
        <v>23</v>
      </c>
      <c r="D20" s="77">
        <v>1452</v>
      </c>
      <c r="E20" s="78">
        <v>562</v>
      </c>
      <c r="F20" s="75">
        <v>38.705234159779614</v>
      </c>
      <c r="G20" s="68">
        <v>56</v>
      </c>
      <c r="H20" s="73">
        <v>9.9644128113879002</v>
      </c>
      <c r="I20" s="68">
        <v>14</v>
      </c>
      <c r="J20" s="79">
        <v>8</v>
      </c>
      <c r="K20" s="73">
        <v>1.4234875444839858</v>
      </c>
      <c r="L20" s="79">
        <v>0</v>
      </c>
    </row>
    <row r="21" spans="2:12">
      <c r="B21" s="35"/>
      <c r="C21" s="43" t="s">
        <v>24</v>
      </c>
      <c r="D21" s="77">
        <v>430</v>
      </c>
      <c r="E21" s="78">
        <v>159</v>
      </c>
      <c r="F21" s="75">
        <v>36.97674418604651</v>
      </c>
      <c r="G21" s="68">
        <v>22</v>
      </c>
      <c r="H21" s="73">
        <v>13.836477987421382</v>
      </c>
      <c r="I21" s="68">
        <v>3</v>
      </c>
      <c r="J21" s="79">
        <v>1</v>
      </c>
      <c r="K21" s="73">
        <v>0.62893081761006286</v>
      </c>
      <c r="L21" s="79">
        <v>0</v>
      </c>
    </row>
    <row r="22" spans="2:12">
      <c r="B22" s="35"/>
      <c r="C22" s="43" t="s">
        <v>25</v>
      </c>
      <c r="D22" s="77">
        <v>117</v>
      </c>
      <c r="E22" s="78">
        <v>32</v>
      </c>
      <c r="F22" s="75">
        <v>27.350427350427353</v>
      </c>
      <c r="G22" s="68">
        <v>4</v>
      </c>
      <c r="H22" s="73">
        <v>12.5</v>
      </c>
      <c r="I22" s="68">
        <v>0</v>
      </c>
      <c r="J22" s="79">
        <v>0</v>
      </c>
      <c r="K22" s="73"/>
      <c r="L22" s="79">
        <v>0</v>
      </c>
    </row>
    <row r="23" spans="2:12">
      <c r="B23" s="35"/>
      <c r="C23" s="43" t="s">
        <v>26</v>
      </c>
      <c r="D23" s="77">
        <v>2537</v>
      </c>
      <c r="E23" s="78">
        <v>1245</v>
      </c>
      <c r="F23" s="75">
        <v>49.073709105242415</v>
      </c>
      <c r="G23" s="68">
        <v>204</v>
      </c>
      <c r="H23" s="73">
        <v>16.3855421686747</v>
      </c>
      <c r="I23" s="68">
        <v>36</v>
      </c>
      <c r="J23" s="79">
        <v>16</v>
      </c>
      <c r="K23" s="73">
        <v>1.285140562248996</v>
      </c>
      <c r="L23" s="79">
        <v>1</v>
      </c>
    </row>
    <row r="24" spans="2:12">
      <c r="B24" s="35"/>
      <c r="C24" s="43" t="s">
        <v>27</v>
      </c>
      <c r="D24" s="77">
        <v>994</v>
      </c>
      <c r="E24" s="78">
        <v>640</v>
      </c>
      <c r="F24" s="75">
        <v>64.386317907444663</v>
      </c>
      <c r="G24" s="68">
        <v>51</v>
      </c>
      <c r="H24" s="73">
        <v>7.96875</v>
      </c>
      <c r="I24" s="68">
        <v>8</v>
      </c>
      <c r="J24" s="79">
        <v>6</v>
      </c>
      <c r="K24" s="73">
        <v>0.9375</v>
      </c>
      <c r="L24" s="79">
        <v>2</v>
      </c>
    </row>
    <row r="25" spans="2:12">
      <c r="B25" s="34"/>
      <c r="C25" s="44" t="s">
        <v>28</v>
      </c>
      <c r="D25" s="80">
        <v>12919</v>
      </c>
      <c r="E25" s="81">
        <v>5561</v>
      </c>
      <c r="F25" s="75">
        <v>43.045127331836831</v>
      </c>
      <c r="G25" s="82">
        <v>663</v>
      </c>
      <c r="H25" s="73">
        <v>11.922316130192412</v>
      </c>
      <c r="I25" s="80">
        <v>87</v>
      </c>
      <c r="J25" s="83">
        <v>32</v>
      </c>
      <c r="K25" s="73">
        <v>0.57543607264880414</v>
      </c>
      <c r="L25" s="83">
        <v>6</v>
      </c>
    </row>
    <row r="26" spans="2:12">
      <c r="B26" s="34"/>
      <c r="C26" s="44"/>
      <c r="D26" s="80"/>
      <c r="E26" s="81"/>
      <c r="F26" s="75"/>
      <c r="G26" s="82"/>
      <c r="H26" s="73"/>
      <c r="I26" s="82"/>
      <c r="J26" s="83"/>
      <c r="K26" s="73"/>
      <c r="L26" s="83"/>
    </row>
    <row r="27" spans="2:12">
      <c r="B27" s="170" t="s">
        <v>29</v>
      </c>
      <c r="C27" s="171"/>
      <c r="D27" s="77">
        <v>59826</v>
      </c>
      <c r="E27" s="78">
        <v>26338</v>
      </c>
      <c r="F27" s="75">
        <v>44.024337244676225</v>
      </c>
      <c r="G27" s="68">
        <v>3072</v>
      </c>
      <c r="H27" s="73">
        <v>11.663755790113145</v>
      </c>
      <c r="I27" s="68">
        <v>411</v>
      </c>
      <c r="J27" s="79">
        <v>237</v>
      </c>
      <c r="K27" s="73">
        <v>0.89984053458880708</v>
      </c>
      <c r="L27" s="79">
        <v>57</v>
      </c>
    </row>
    <row r="28" spans="2:12">
      <c r="B28" s="34"/>
      <c r="C28" s="44" t="s">
        <v>30</v>
      </c>
      <c r="D28" s="77">
        <v>314</v>
      </c>
      <c r="E28" s="78">
        <v>68</v>
      </c>
      <c r="F28" s="75">
        <v>21.656050955414013</v>
      </c>
      <c r="G28" s="68">
        <v>6</v>
      </c>
      <c r="H28" s="73">
        <v>8.8235294117647047</v>
      </c>
      <c r="I28" s="68">
        <v>0</v>
      </c>
      <c r="J28" s="79">
        <v>0</v>
      </c>
      <c r="K28" s="73"/>
      <c r="L28" s="79">
        <v>0</v>
      </c>
    </row>
    <row r="29" spans="2:12">
      <c r="B29" s="36"/>
      <c r="C29" s="37" t="s">
        <v>31</v>
      </c>
      <c r="D29" s="77">
        <v>1795</v>
      </c>
      <c r="E29" s="78">
        <v>526</v>
      </c>
      <c r="F29" s="84">
        <v>29.303621169916433</v>
      </c>
      <c r="G29" s="68">
        <v>47</v>
      </c>
      <c r="H29" s="92">
        <v>8.9353612167300387</v>
      </c>
      <c r="I29" s="68">
        <v>5</v>
      </c>
      <c r="J29" s="79">
        <v>1</v>
      </c>
      <c r="K29" s="92">
        <v>0.19011406844106465</v>
      </c>
      <c r="L29" s="79">
        <v>0</v>
      </c>
    </row>
    <row r="30" spans="2:12">
      <c r="B30" s="36"/>
      <c r="C30" s="37" t="s">
        <v>32</v>
      </c>
      <c r="D30" s="77">
        <v>2197</v>
      </c>
      <c r="E30" s="78">
        <v>700</v>
      </c>
      <c r="F30" s="84">
        <v>31.861629494765591</v>
      </c>
      <c r="G30" s="68">
        <v>35</v>
      </c>
      <c r="H30" s="92">
        <v>5</v>
      </c>
      <c r="I30" s="68">
        <v>5</v>
      </c>
      <c r="J30" s="79">
        <v>2</v>
      </c>
      <c r="K30" s="73">
        <v>0.2857142857142857</v>
      </c>
      <c r="L30" s="79">
        <v>1</v>
      </c>
    </row>
    <row r="31" spans="2:12">
      <c r="B31" s="36"/>
      <c r="C31" s="40" t="s">
        <v>47</v>
      </c>
      <c r="D31" s="77">
        <v>2494</v>
      </c>
      <c r="E31" s="78">
        <v>1237</v>
      </c>
      <c r="F31" s="84">
        <v>49.599037690457095</v>
      </c>
      <c r="G31" s="68">
        <v>79</v>
      </c>
      <c r="H31" s="92">
        <v>6.3864187550525466</v>
      </c>
      <c r="I31" s="68">
        <v>12</v>
      </c>
      <c r="J31" s="79">
        <v>7</v>
      </c>
      <c r="K31" s="92">
        <v>0.56588520614389659</v>
      </c>
      <c r="L31" s="79">
        <v>0</v>
      </c>
    </row>
    <row r="32" spans="2:12">
      <c r="B32" s="36"/>
      <c r="C32" s="37" t="s">
        <v>33</v>
      </c>
      <c r="D32" s="77">
        <v>554</v>
      </c>
      <c r="E32" s="78">
        <v>256</v>
      </c>
      <c r="F32" s="84">
        <v>46.209386281588451</v>
      </c>
      <c r="G32" s="68">
        <v>30</v>
      </c>
      <c r="H32" s="92">
        <v>11.71875</v>
      </c>
      <c r="I32" s="68">
        <v>4</v>
      </c>
      <c r="J32" s="79">
        <v>0</v>
      </c>
      <c r="K32" s="73"/>
      <c r="L32" s="79">
        <v>1</v>
      </c>
    </row>
    <row r="33" spans="2:12">
      <c r="B33" s="36"/>
      <c r="C33" s="37" t="s">
        <v>34</v>
      </c>
      <c r="D33" s="77">
        <v>366</v>
      </c>
      <c r="E33" s="78">
        <v>138</v>
      </c>
      <c r="F33" s="84">
        <v>37.704918032786885</v>
      </c>
      <c r="G33" s="68">
        <v>19</v>
      </c>
      <c r="H33" s="92">
        <v>13.768115942028986</v>
      </c>
      <c r="I33" s="68">
        <v>6</v>
      </c>
      <c r="J33" s="79">
        <v>5</v>
      </c>
      <c r="K33" s="92">
        <v>3.6231884057971016</v>
      </c>
      <c r="L33" s="79">
        <v>1</v>
      </c>
    </row>
    <row r="34" spans="2:12">
      <c r="B34" s="34"/>
      <c r="C34" s="44" t="s">
        <v>35</v>
      </c>
      <c r="D34" s="77">
        <v>15823</v>
      </c>
      <c r="E34" s="78">
        <v>11204</v>
      </c>
      <c r="F34" s="75">
        <v>70.808317006888714</v>
      </c>
      <c r="G34" s="68">
        <v>1765</v>
      </c>
      <c r="H34" s="73">
        <v>15.753302392002855</v>
      </c>
      <c r="I34" s="68">
        <v>210</v>
      </c>
      <c r="J34" s="79">
        <v>176</v>
      </c>
      <c r="K34" s="73">
        <v>1.5708675473045339</v>
      </c>
      <c r="L34" s="79">
        <v>31</v>
      </c>
    </row>
    <row r="35" spans="2:12">
      <c r="B35" s="36"/>
      <c r="C35" s="37" t="s">
        <v>36</v>
      </c>
      <c r="D35" s="77">
        <v>2484</v>
      </c>
      <c r="E35" s="78">
        <v>701</v>
      </c>
      <c r="F35" s="84">
        <v>28.220611916264087</v>
      </c>
      <c r="G35" s="68">
        <v>149</v>
      </c>
      <c r="H35" s="92">
        <v>21.255349500713269</v>
      </c>
      <c r="I35" s="68">
        <v>18</v>
      </c>
      <c r="J35" s="79">
        <v>4</v>
      </c>
      <c r="K35" s="92">
        <v>0.57061340941512129</v>
      </c>
      <c r="L35" s="79">
        <v>0</v>
      </c>
    </row>
    <row r="36" spans="2:12">
      <c r="B36" s="36"/>
      <c r="C36" s="40" t="s">
        <v>48</v>
      </c>
      <c r="D36" s="77">
        <v>642</v>
      </c>
      <c r="E36" s="78">
        <v>217</v>
      </c>
      <c r="F36" s="84">
        <v>33.800623052959502</v>
      </c>
      <c r="G36" s="68">
        <v>42</v>
      </c>
      <c r="H36" s="92">
        <v>19.35483870967742</v>
      </c>
      <c r="I36" s="68">
        <v>6</v>
      </c>
      <c r="J36" s="79">
        <v>3</v>
      </c>
      <c r="K36" s="92">
        <v>1.3824884792626728</v>
      </c>
      <c r="L36" s="79">
        <v>0</v>
      </c>
    </row>
    <row r="37" spans="2:12">
      <c r="B37" s="34"/>
      <c r="C37" s="41" t="s">
        <v>49</v>
      </c>
      <c r="D37" s="77">
        <v>1052</v>
      </c>
      <c r="E37" s="78">
        <v>684</v>
      </c>
      <c r="F37" s="75">
        <v>65.019011406844101</v>
      </c>
      <c r="G37" s="68">
        <v>116</v>
      </c>
      <c r="H37" s="73">
        <v>16.959064327485379</v>
      </c>
      <c r="I37" s="68">
        <v>27</v>
      </c>
      <c r="J37" s="79">
        <v>7</v>
      </c>
      <c r="K37" s="73">
        <v>1.0233918128654971</v>
      </c>
      <c r="L37" s="79">
        <v>3</v>
      </c>
    </row>
    <row r="38" spans="2:12">
      <c r="B38" s="36"/>
      <c r="C38" s="37" t="s">
        <v>37</v>
      </c>
      <c r="D38" s="77">
        <v>122</v>
      </c>
      <c r="E38" s="78">
        <v>34</v>
      </c>
      <c r="F38" s="84">
        <v>27.868852459016392</v>
      </c>
      <c r="G38" s="68">
        <v>6</v>
      </c>
      <c r="H38" s="92">
        <v>17.647058823529409</v>
      </c>
      <c r="I38" s="68">
        <v>1</v>
      </c>
      <c r="J38" s="79">
        <v>0</v>
      </c>
      <c r="K38" s="92"/>
      <c r="L38" s="79">
        <v>0</v>
      </c>
    </row>
    <row r="39" spans="2:12">
      <c r="B39" s="38"/>
      <c r="C39" s="39" t="s">
        <v>28</v>
      </c>
      <c r="D39" s="86">
        <v>31983</v>
      </c>
      <c r="E39" s="87">
        <v>10573</v>
      </c>
      <c r="F39" s="88">
        <v>33.058187161929773</v>
      </c>
      <c r="G39" s="89">
        <v>778</v>
      </c>
      <c r="H39" s="93">
        <v>7.3583656483495696</v>
      </c>
      <c r="I39" s="86">
        <v>117</v>
      </c>
      <c r="J39" s="89">
        <v>32</v>
      </c>
      <c r="K39" s="93">
        <v>0.30265771304265582</v>
      </c>
      <c r="L39" s="89">
        <v>20</v>
      </c>
    </row>
    <row r="40" spans="2:12" s="58" customFormat="1">
      <c r="B40" s="59" t="s">
        <v>38</v>
      </c>
      <c r="C40" s="142" t="s">
        <v>50</v>
      </c>
      <c r="D40" s="142"/>
      <c r="E40" s="142"/>
      <c r="F40" s="142"/>
      <c r="G40" s="142"/>
      <c r="H40" s="142"/>
      <c r="I40" s="142"/>
      <c r="J40" s="142"/>
      <c r="K40" s="142"/>
      <c r="L40" s="142"/>
    </row>
    <row r="41" spans="2:12" s="58" customFormat="1">
      <c r="B41" s="94" t="s">
        <v>57</v>
      </c>
      <c r="C41" s="141" t="s">
        <v>56</v>
      </c>
      <c r="D41" s="141"/>
      <c r="E41" s="141"/>
      <c r="F41" s="141"/>
      <c r="G41" s="141"/>
      <c r="H41" s="141"/>
      <c r="I41" s="141"/>
      <c r="J41" s="141"/>
      <c r="K41" s="141"/>
      <c r="L41" s="141"/>
    </row>
    <row r="42" spans="2:12" s="58" customFormat="1" ht="13.75" customHeight="1">
      <c r="B42" s="95" t="s">
        <v>58</v>
      </c>
      <c r="C42" s="143" t="s">
        <v>40</v>
      </c>
      <c r="D42" s="143"/>
      <c r="E42" s="143"/>
      <c r="F42" s="143"/>
      <c r="G42" s="143"/>
      <c r="H42" s="143"/>
      <c r="I42" s="143"/>
      <c r="J42" s="143"/>
      <c r="K42" s="143"/>
      <c r="L42" s="143"/>
    </row>
    <row r="43" spans="2:12" s="58" customFormat="1" ht="13.75" customHeight="1">
      <c r="B43" s="95" t="s">
        <v>59</v>
      </c>
      <c r="C43" s="143" t="s">
        <v>60</v>
      </c>
      <c r="D43" s="143"/>
      <c r="E43" s="143"/>
      <c r="F43" s="143"/>
      <c r="G43" s="143"/>
      <c r="H43" s="143"/>
      <c r="I43" s="143"/>
      <c r="J43" s="143"/>
      <c r="K43" s="143"/>
      <c r="L43" s="143"/>
    </row>
    <row r="44" spans="2:12" s="58" customFormat="1" ht="13.75" customHeight="1">
      <c r="B44" s="95" t="s">
        <v>63</v>
      </c>
      <c r="C44" s="143" t="s">
        <v>42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95" t="s">
        <v>61</v>
      </c>
      <c r="C45" s="143" t="s">
        <v>44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s="58" customFormat="1" ht="13.75" customHeight="1">
      <c r="B46" s="57" t="s">
        <v>45</v>
      </c>
      <c r="C46" s="143" t="s">
        <v>46</v>
      </c>
      <c r="D46" s="143"/>
      <c r="E46" s="143"/>
      <c r="F46" s="143"/>
      <c r="G46" s="143"/>
      <c r="H46" s="143"/>
      <c r="I46" s="143"/>
      <c r="J46" s="143"/>
      <c r="K46" s="143"/>
      <c r="L46" s="143"/>
    </row>
  </sheetData>
  <mergeCells count="19">
    <mergeCell ref="C42:L42"/>
    <mergeCell ref="C44:L44"/>
    <mergeCell ref="C45:L45"/>
    <mergeCell ref="C46:L46"/>
    <mergeCell ref="C43:L43"/>
    <mergeCell ref="C40:L40"/>
    <mergeCell ref="C41:L41"/>
    <mergeCell ref="B7:C7"/>
    <mergeCell ref="B9:C9"/>
    <mergeCell ref="B27:C27"/>
    <mergeCell ref="E3:E6"/>
    <mergeCell ref="F3:F6"/>
    <mergeCell ref="B3:C6"/>
    <mergeCell ref="D3:D6"/>
    <mergeCell ref="G3:L3"/>
    <mergeCell ref="G4:H6"/>
    <mergeCell ref="J4:K6"/>
    <mergeCell ref="L4:L6"/>
    <mergeCell ref="I5:I6"/>
  </mergeCells>
  <phoneticPr fontId="3"/>
  <pageMargins left="0.75" right="0.75" top="1" bottom="1" header="0.51200000000000001" footer="0.51200000000000001"/>
  <pageSetup paperSize="9" scale="66" orientation="portrait" horizontalDpi="200" verticalDpi="200" r:id="rId1"/>
  <headerFooter alignWithMargins="0">
    <oddHeader>&amp;L&amp;D　&amp;T&amp;R&amp;A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L51"/>
  <sheetViews>
    <sheetView view="pageBreakPreview" topLeftCell="A36" zoomScaleNormal="100" zoomScaleSheetLayoutView="100" workbookViewId="0">
      <selection activeCell="C35" sqref="C35"/>
    </sheetView>
  </sheetViews>
  <sheetFormatPr defaultColWidth="9" defaultRowHeight="14.3"/>
  <cols>
    <col min="1" max="1" width="3.625" style="1" customWidth="1"/>
    <col min="2" max="2" width="6.375" style="1" bestFit="1" customWidth="1"/>
    <col min="3" max="3" width="42.5" style="1" customWidth="1"/>
    <col min="4" max="4" width="10.375" style="1" customWidth="1"/>
    <col min="5" max="5" width="10.75" style="1" bestFit="1" customWidth="1"/>
    <col min="6" max="6" width="10.125" style="1" customWidth="1"/>
    <col min="7" max="7" width="9" style="1"/>
    <col min="8" max="8" width="7" style="1" customWidth="1"/>
    <col min="9" max="9" width="8.5" style="1" customWidth="1"/>
    <col min="10" max="10" width="7.75" style="1" customWidth="1"/>
    <col min="11" max="11" width="6.75" style="1" customWidth="1"/>
    <col min="12" max="12" width="8.125" style="1" customWidth="1"/>
    <col min="13" max="13" width="6.875" style="1" customWidth="1"/>
    <col min="14" max="16384" width="9" style="1"/>
  </cols>
  <sheetData>
    <row r="2" spans="2:12" ht="15.65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>
      <c r="B3" s="48"/>
      <c r="C3" s="2"/>
      <c r="D3" s="49"/>
      <c r="E3" s="48"/>
      <c r="F3" s="48"/>
      <c r="G3" s="48"/>
      <c r="H3" s="48"/>
      <c r="I3" s="48"/>
      <c r="J3" s="48"/>
      <c r="K3" s="48"/>
      <c r="L3" s="50"/>
    </row>
    <row r="4" spans="2:12" ht="14.95" thickBot="1">
      <c r="B4" s="3"/>
      <c r="C4" s="3"/>
      <c r="D4" s="3"/>
      <c r="E4" s="3"/>
      <c r="F4" s="3"/>
      <c r="G4" s="4"/>
      <c r="H4" s="4"/>
      <c r="I4" s="4"/>
      <c r="J4" s="4"/>
      <c r="K4" s="5"/>
      <c r="L4" s="60" t="s">
        <v>62</v>
      </c>
    </row>
    <row r="5" spans="2:12" ht="14.95" thickTop="1">
      <c r="B5" s="144" t="s">
        <v>2</v>
      </c>
      <c r="C5" s="145"/>
      <c r="D5" s="150" t="s">
        <v>3</v>
      </c>
      <c r="E5" s="150" t="s">
        <v>4</v>
      </c>
      <c r="F5" s="150" t="s">
        <v>9</v>
      </c>
      <c r="G5" s="153" t="s">
        <v>5</v>
      </c>
      <c r="H5" s="154"/>
      <c r="I5" s="154"/>
      <c r="J5" s="154"/>
      <c r="K5" s="154"/>
      <c r="L5" s="154"/>
    </row>
    <row r="6" spans="2:12">
      <c r="B6" s="146"/>
      <c r="C6" s="147"/>
      <c r="D6" s="151"/>
      <c r="E6" s="151"/>
      <c r="F6" s="151"/>
      <c r="G6" s="155" t="s">
        <v>6</v>
      </c>
      <c r="H6" s="155"/>
      <c r="I6" s="2"/>
      <c r="J6" s="158" t="s">
        <v>7</v>
      </c>
      <c r="K6" s="159"/>
      <c r="L6" s="158" t="s">
        <v>10</v>
      </c>
    </row>
    <row r="7" spans="2:12">
      <c r="B7" s="146"/>
      <c r="C7" s="147"/>
      <c r="D7" s="151"/>
      <c r="E7" s="151"/>
      <c r="F7" s="151"/>
      <c r="G7" s="156"/>
      <c r="H7" s="156"/>
      <c r="I7" s="164" t="s">
        <v>8</v>
      </c>
      <c r="J7" s="160"/>
      <c r="K7" s="161"/>
      <c r="L7" s="160"/>
    </row>
    <row r="8" spans="2:12">
      <c r="B8" s="148"/>
      <c r="C8" s="149"/>
      <c r="D8" s="152"/>
      <c r="E8" s="152"/>
      <c r="F8" s="152"/>
      <c r="G8" s="157"/>
      <c r="H8" s="157"/>
      <c r="I8" s="165"/>
      <c r="J8" s="162"/>
      <c r="K8" s="163"/>
      <c r="L8" s="162"/>
    </row>
    <row r="9" spans="2:12">
      <c r="B9" s="166" t="s">
        <v>11</v>
      </c>
      <c r="C9" s="167"/>
      <c r="D9" s="96">
        <v>158657</v>
      </c>
      <c r="E9" s="97">
        <v>75454</v>
      </c>
      <c r="F9" s="8">
        <v>47.557939454294484</v>
      </c>
      <c r="G9" s="25">
        <v>10381</v>
      </c>
      <c r="H9" s="14">
        <v>13.75805126302118</v>
      </c>
      <c r="I9" s="97">
        <v>1819</v>
      </c>
      <c r="J9" s="11">
        <v>854</v>
      </c>
      <c r="K9" s="98">
        <v>1.1318154107138125</v>
      </c>
      <c r="L9" s="99">
        <v>102</v>
      </c>
    </row>
    <row r="10" spans="2:12">
      <c r="B10" s="51"/>
      <c r="C10" s="52"/>
      <c r="D10" s="14"/>
      <c r="E10" s="74"/>
      <c r="F10" s="16"/>
      <c r="G10" s="51"/>
      <c r="H10" s="14"/>
      <c r="I10" s="74"/>
      <c r="J10" s="54"/>
      <c r="K10" s="14"/>
      <c r="L10" s="76"/>
    </row>
    <row r="11" spans="2:12">
      <c r="B11" s="168" t="s">
        <v>12</v>
      </c>
      <c r="C11" s="169"/>
      <c r="D11" s="23">
        <v>98551</v>
      </c>
      <c r="E11" s="24">
        <v>49781</v>
      </c>
      <c r="F11" s="16">
        <v>50.512932390335962</v>
      </c>
      <c r="G11" s="25">
        <v>7517</v>
      </c>
      <c r="H11" s="14">
        <v>15.100138607099094</v>
      </c>
      <c r="I11" s="25">
        <v>1403</v>
      </c>
      <c r="J11" s="26">
        <v>663</v>
      </c>
      <c r="K11" s="14">
        <v>1.3318334304252626</v>
      </c>
      <c r="L11" s="26">
        <v>54</v>
      </c>
    </row>
    <row r="12" spans="2:12">
      <c r="B12" s="35"/>
      <c r="C12" s="43" t="s">
        <v>13</v>
      </c>
      <c r="D12" s="23">
        <v>637</v>
      </c>
      <c r="E12" s="24">
        <v>218</v>
      </c>
      <c r="F12" s="16">
        <v>34.222919937205653</v>
      </c>
      <c r="G12" s="25">
        <v>23</v>
      </c>
      <c r="H12" s="14">
        <v>10.55045871559633</v>
      </c>
      <c r="I12" s="25">
        <v>5</v>
      </c>
      <c r="J12" s="26">
        <v>2</v>
      </c>
      <c r="K12" s="14">
        <v>0.9174311926605504</v>
      </c>
      <c r="L12" s="22">
        <v>0</v>
      </c>
    </row>
    <row r="13" spans="2:12">
      <c r="B13" s="35"/>
      <c r="C13" s="43" t="s">
        <v>14</v>
      </c>
      <c r="D13" s="23">
        <v>1796</v>
      </c>
      <c r="E13" s="23">
        <v>807</v>
      </c>
      <c r="F13" s="16">
        <v>44.933184855233854</v>
      </c>
      <c r="G13" s="25">
        <v>121</v>
      </c>
      <c r="H13" s="14">
        <v>14.993804213135068</v>
      </c>
      <c r="I13" s="25">
        <v>13</v>
      </c>
      <c r="J13" s="26">
        <v>20</v>
      </c>
      <c r="K13" s="14">
        <v>2.4783147459727384</v>
      </c>
      <c r="L13" s="26">
        <v>0</v>
      </c>
    </row>
    <row r="14" spans="2:12">
      <c r="B14" s="35"/>
      <c r="C14" s="43" t="s">
        <v>15</v>
      </c>
      <c r="D14" s="23">
        <v>12116</v>
      </c>
      <c r="E14" s="24">
        <v>5732</v>
      </c>
      <c r="F14" s="16">
        <v>47.309343017497525</v>
      </c>
      <c r="G14" s="25">
        <v>541</v>
      </c>
      <c r="H14" s="14">
        <v>9.4382414515003497</v>
      </c>
      <c r="I14" s="25">
        <v>94</v>
      </c>
      <c r="J14" s="26">
        <v>32</v>
      </c>
      <c r="K14" s="14">
        <v>0.55826936496859736</v>
      </c>
      <c r="L14" s="26">
        <v>7</v>
      </c>
    </row>
    <row r="15" spans="2:12">
      <c r="B15" s="35"/>
      <c r="C15" s="43" t="s">
        <v>16</v>
      </c>
      <c r="D15" s="80">
        <v>4232</v>
      </c>
      <c r="E15" s="81">
        <v>2126</v>
      </c>
      <c r="F15" s="75">
        <v>50.236294896030245</v>
      </c>
      <c r="G15" s="82">
        <v>184</v>
      </c>
      <c r="H15" s="73">
        <v>8.6547507055503292</v>
      </c>
      <c r="I15" s="82">
        <v>29</v>
      </c>
      <c r="J15" s="83">
        <v>9</v>
      </c>
      <c r="K15" s="73">
        <v>0.42333019755409218</v>
      </c>
      <c r="L15" s="83">
        <v>2</v>
      </c>
    </row>
    <row r="16" spans="2:12">
      <c r="B16" s="35"/>
      <c r="C16" s="43" t="s">
        <v>17</v>
      </c>
      <c r="D16" s="80">
        <v>764</v>
      </c>
      <c r="E16" s="81">
        <v>431</v>
      </c>
      <c r="F16" s="75">
        <v>56.413612565445028</v>
      </c>
      <c r="G16" s="82">
        <v>52</v>
      </c>
      <c r="H16" s="73">
        <v>12.064965197215779</v>
      </c>
      <c r="I16" s="82">
        <v>8</v>
      </c>
      <c r="J16" s="83">
        <v>0</v>
      </c>
      <c r="K16" s="73"/>
      <c r="L16" s="83">
        <v>0</v>
      </c>
    </row>
    <row r="17" spans="2:12">
      <c r="B17" s="35"/>
      <c r="C17" s="43" t="s">
        <v>18</v>
      </c>
      <c r="D17" s="80">
        <v>43061</v>
      </c>
      <c r="E17" s="81">
        <v>23968</v>
      </c>
      <c r="F17" s="75">
        <v>55.66057453380089</v>
      </c>
      <c r="G17" s="82">
        <v>4357</v>
      </c>
      <c r="H17" s="73">
        <v>18.178404539385848</v>
      </c>
      <c r="I17" s="82">
        <v>847</v>
      </c>
      <c r="J17" s="83">
        <v>461</v>
      </c>
      <c r="K17" s="73">
        <v>1.9233978638184246</v>
      </c>
      <c r="L17" s="83">
        <v>28</v>
      </c>
    </row>
    <row r="18" spans="2:12">
      <c r="B18" s="35"/>
      <c r="C18" s="43" t="s">
        <v>19</v>
      </c>
      <c r="D18" s="23">
        <v>11224</v>
      </c>
      <c r="E18" s="24">
        <v>5221</v>
      </c>
      <c r="F18" s="16">
        <v>46.516393442622949</v>
      </c>
      <c r="G18" s="25">
        <v>824</v>
      </c>
      <c r="H18" s="14">
        <v>15.782417161463322</v>
      </c>
      <c r="I18" s="25">
        <v>174</v>
      </c>
      <c r="J18" s="26">
        <v>70</v>
      </c>
      <c r="K18" s="14">
        <v>1.3407393219689714</v>
      </c>
      <c r="L18" s="26">
        <v>8</v>
      </c>
    </row>
    <row r="19" spans="2:12">
      <c r="B19" s="35"/>
      <c r="C19" s="43" t="s">
        <v>20</v>
      </c>
      <c r="D19" s="80">
        <v>1737</v>
      </c>
      <c r="E19" s="81">
        <v>1019</v>
      </c>
      <c r="F19" s="75">
        <v>58.664363845711001</v>
      </c>
      <c r="G19" s="82">
        <v>146</v>
      </c>
      <c r="H19" s="73">
        <v>14.327772325809619</v>
      </c>
      <c r="I19" s="82">
        <v>29</v>
      </c>
      <c r="J19" s="83">
        <v>3</v>
      </c>
      <c r="K19" s="73">
        <v>0.29440628066732094</v>
      </c>
      <c r="L19" s="83">
        <v>0</v>
      </c>
    </row>
    <row r="20" spans="2:12">
      <c r="B20" s="35"/>
      <c r="C20" s="43" t="s">
        <v>21</v>
      </c>
      <c r="D20" s="80">
        <v>2116</v>
      </c>
      <c r="E20" s="81">
        <v>1058</v>
      </c>
      <c r="F20" s="75">
        <v>50</v>
      </c>
      <c r="G20" s="82">
        <v>190</v>
      </c>
      <c r="H20" s="73">
        <v>17.958412098298677</v>
      </c>
      <c r="I20" s="82">
        <v>29</v>
      </c>
      <c r="J20" s="83">
        <v>10</v>
      </c>
      <c r="K20" s="73">
        <v>0.94517958412098302</v>
      </c>
      <c r="L20" s="79">
        <v>1</v>
      </c>
    </row>
    <row r="21" spans="2:12">
      <c r="B21" s="35"/>
      <c r="C21" s="43" t="s">
        <v>22</v>
      </c>
      <c r="D21" s="23">
        <v>789</v>
      </c>
      <c r="E21" s="24">
        <v>309</v>
      </c>
      <c r="F21" s="16">
        <v>39.163498098859314</v>
      </c>
      <c r="G21" s="25">
        <v>46</v>
      </c>
      <c r="H21" s="14">
        <v>14.88673139158576</v>
      </c>
      <c r="I21" s="25">
        <v>8</v>
      </c>
      <c r="J21" s="26">
        <v>4</v>
      </c>
      <c r="K21" s="14">
        <v>1.2944983818770228</v>
      </c>
      <c r="L21" s="22">
        <v>1</v>
      </c>
    </row>
    <row r="22" spans="2:12">
      <c r="B22" s="35"/>
      <c r="C22" s="43" t="s">
        <v>23</v>
      </c>
      <c r="D22" s="23">
        <v>1443</v>
      </c>
      <c r="E22" s="24">
        <v>551</v>
      </c>
      <c r="F22" s="16">
        <v>38.184338184338188</v>
      </c>
      <c r="G22" s="25">
        <v>61</v>
      </c>
      <c r="H22" s="14">
        <v>11.070780399274048</v>
      </c>
      <c r="I22" s="25">
        <v>15</v>
      </c>
      <c r="J22" s="26">
        <v>6</v>
      </c>
      <c r="K22" s="14">
        <v>1.0889292196007261</v>
      </c>
      <c r="L22" s="26">
        <v>1</v>
      </c>
    </row>
    <row r="23" spans="2:12">
      <c r="B23" s="35"/>
      <c r="C23" s="43" t="s">
        <v>24</v>
      </c>
      <c r="D23" s="23">
        <v>462</v>
      </c>
      <c r="E23" s="24">
        <v>187</v>
      </c>
      <c r="F23" s="16">
        <v>40.476190476190474</v>
      </c>
      <c r="G23" s="25">
        <v>20</v>
      </c>
      <c r="H23" s="14">
        <v>10.695187165775399</v>
      </c>
      <c r="I23" s="25">
        <v>6</v>
      </c>
      <c r="J23" s="26">
        <v>1</v>
      </c>
      <c r="K23" s="14">
        <v>0.53475935828876997</v>
      </c>
      <c r="L23" s="22">
        <v>0</v>
      </c>
    </row>
    <row r="24" spans="2:12">
      <c r="B24" s="35"/>
      <c r="C24" s="43" t="s">
        <v>25</v>
      </c>
      <c r="D24" s="23">
        <v>182</v>
      </c>
      <c r="E24" s="24">
        <v>46</v>
      </c>
      <c r="F24" s="16">
        <v>25.274725274725274</v>
      </c>
      <c r="G24" s="9">
        <v>0</v>
      </c>
      <c r="H24" s="14"/>
      <c r="I24" s="22">
        <v>0</v>
      </c>
      <c r="J24" s="22">
        <v>0</v>
      </c>
      <c r="K24" s="14"/>
      <c r="L24" s="22">
        <v>0</v>
      </c>
    </row>
    <row r="25" spans="2:12">
      <c r="B25" s="35"/>
      <c r="C25" s="43" t="s">
        <v>26</v>
      </c>
      <c r="D25" s="23">
        <v>2681</v>
      </c>
      <c r="E25" s="24">
        <v>1338</v>
      </c>
      <c r="F25" s="16">
        <v>49.906751212234241</v>
      </c>
      <c r="G25" s="25">
        <v>213</v>
      </c>
      <c r="H25" s="14">
        <v>15.919282511210762</v>
      </c>
      <c r="I25" s="25">
        <v>51</v>
      </c>
      <c r="J25" s="26">
        <v>14</v>
      </c>
      <c r="K25" s="14">
        <v>1.0463378176382661</v>
      </c>
      <c r="L25" s="22">
        <v>0</v>
      </c>
    </row>
    <row r="26" spans="2:12">
      <c r="B26" s="35"/>
      <c r="C26" s="43" t="s">
        <v>27</v>
      </c>
      <c r="D26" s="80">
        <v>1083</v>
      </c>
      <c r="E26" s="81">
        <v>686</v>
      </c>
      <c r="F26" s="75">
        <v>63.342566943674974</v>
      </c>
      <c r="G26" s="82">
        <v>56</v>
      </c>
      <c r="H26" s="73">
        <v>8.1632653061224492</v>
      </c>
      <c r="I26" s="82">
        <v>8</v>
      </c>
      <c r="J26" s="83">
        <v>2</v>
      </c>
      <c r="K26" s="73">
        <v>0.29154518950437314</v>
      </c>
      <c r="L26" s="79">
        <v>2</v>
      </c>
    </row>
    <row r="27" spans="2:12">
      <c r="B27" s="34"/>
      <c r="C27" s="44" t="s">
        <v>28</v>
      </c>
      <c r="D27" s="23">
        <v>14228</v>
      </c>
      <c r="E27" s="24">
        <v>6084</v>
      </c>
      <c r="F27" s="16">
        <v>42.760753443913416</v>
      </c>
      <c r="G27" s="25">
        <v>683</v>
      </c>
      <c r="H27" s="14">
        <v>11.226166995397763</v>
      </c>
      <c r="I27" s="23">
        <v>87</v>
      </c>
      <c r="J27" s="26">
        <v>29</v>
      </c>
      <c r="K27" s="14">
        <v>0.47666009204470738</v>
      </c>
      <c r="L27" s="26">
        <v>4</v>
      </c>
    </row>
    <row r="28" spans="2:12">
      <c r="B28" s="34"/>
      <c r="C28" s="44"/>
      <c r="D28" s="23"/>
      <c r="E28" s="24"/>
      <c r="F28" s="16"/>
      <c r="G28" s="25"/>
      <c r="H28" s="14"/>
      <c r="I28" s="25"/>
      <c r="J28" s="26"/>
      <c r="K28" s="14"/>
      <c r="L28" s="26"/>
    </row>
    <row r="29" spans="2:12">
      <c r="B29" s="170" t="s">
        <v>29</v>
      </c>
      <c r="C29" s="171"/>
      <c r="D29" s="23">
        <v>60106</v>
      </c>
      <c r="E29" s="24">
        <v>25673</v>
      </c>
      <c r="F29" s="16">
        <v>42.712873922736499</v>
      </c>
      <c r="G29" s="25">
        <v>2864</v>
      </c>
      <c r="H29" s="14">
        <v>11.155688855996571</v>
      </c>
      <c r="I29" s="25">
        <v>416</v>
      </c>
      <c r="J29" s="26">
        <v>191</v>
      </c>
      <c r="K29" s="14">
        <v>0.74397226658357019</v>
      </c>
      <c r="L29" s="26">
        <v>48</v>
      </c>
    </row>
    <row r="30" spans="2:12">
      <c r="B30" s="34"/>
      <c r="C30" s="44" t="s">
        <v>30</v>
      </c>
      <c r="D30" s="23">
        <v>51</v>
      </c>
      <c r="E30" s="24">
        <v>21</v>
      </c>
      <c r="F30" s="16">
        <v>41.17647058823529</v>
      </c>
      <c r="G30" s="25">
        <v>0</v>
      </c>
      <c r="H30" s="14"/>
      <c r="I30" s="25">
        <v>0</v>
      </c>
      <c r="J30" s="22">
        <v>0</v>
      </c>
      <c r="K30" s="9"/>
      <c r="L30" s="26">
        <v>0</v>
      </c>
    </row>
    <row r="31" spans="2:12">
      <c r="B31" s="36"/>
      <c r="C31" s="37" t="s">
        <v>31</v>
      </c>
      <c r="D31" s="100">
        <v>1679</v>
      </c>
      <c r="E31" s="101">
        <v>500</v>
      </c>
      <c r="F31" s="27">
        <v>29.779630732578916</v>
      </c>
      <c r="G31" s="102">
        <v>28</v>
      </c>
      <c r="H31" s="103">
        <v>5.6</v>
      </c>
      <c r="I31" s="102">
        <v>7</v>
      </c>
      <c r="J31" s="104">
        <v>3</v>
      </c>
      <c r="K31" s="103">
        <v>0.6</v>
      </c>
      <c r="L31" s="104">
        <v>3</v>
      </c>
    </row>
    <row r="32" spans="2:12">
      <c r="B32" s="36"/>
      <c r="C32" s="37" t="s">
        <v>78</v>
      </c>
      <c r="D32" s="100">
        <v>2468</v>
      </c>
      <c r="E32" s="101">
        <v>1177</v>
      </c>
      <c r="F32" s="27">
        <v>47.690437601296601</v>
      </c>
      <c r="G32" s="102">
        <v>86</v>
      </c>
      <c r="H32" s="103">
        <v>7.306711979609176</v>
      </c>
      <c r="I32" s="102">
        <v>12</v>
      </c>
      <c r="J32" s="104">
        <v>4</v>
      </c>
      <c r="K32" s="103">
        <v>0.33984706881903143</v>
      </c>
      <c r="L32" s="105">
        <v>2</v>
      </c>
    </row>
    <row r="33" spans="2:12">
      <c r="B33" s="36"/>
      <c r="C33" s="40" t="s">
        <v>79</v>
      </c>
      <c r="D33" s="80">
        <v>14619</v>
      </c>
      <c r="E33" s="81">
        <v>10137</v>
      </c>
      <c r="F33" s="75">
        <v>69.341268212600042</v>
      </c>
      <c r="G33" s="82">
        <v>1625</v>
      </c>
      <c r="H33" s="73">
        <v>16.03038374272467</v>
      </c>
      <c r="I33" s="82">
        <v>233</v>
      </c>
      <c r="J33" s="83">
        <v>148</v>
      </c>
      <c r="K33" s="73">
        <v>1.4599980270296931</v>
      </c>
      <c r="L33" s="83">
        <v>23</v>
      </c>
    </row>
    <row r="34" spans="2:12">
      <c r="B34" s="36"/>
      <c r="C34" s="37" t="s">
        <v>80</v>
      </c>
      <c r="D34" s="100">
        <v>2298</v>
      </c>
      <c r="E34" s="101">
        <v>624</v>
      </c>
      <c r="F34" s="27">
        <v>27.154046997389038</v>
      </c>
      <c r="G34" s="102">
        <v>134</v>
      </c>
      <c r="H34" s="103">
        <v>21.474358974358974</v>
      </c>
      <c r="I34" s="102">
        <v>17</v>
      </c>
      <c r="J34" s="104">
        <v>3</v>
      </c>
      <c r="K34" s="103">
        <v>0.48076923076923073</v>
      </c>
      <c r="L34" s="104">
        <v>0</v>
      </c>
    </row>
    <row r="35" spans="2:12">
      <c r="B35" s="36"/>
      <c r="C35" s="37" t="s">
        <v>81</v>
      </c>
      <c r="D35" s="100">
        <v>838</v>
      </c>
      <c r="E35" s="101">
        <v>276</v>
      </c>
      <c r="F35" s="27">
        <v>32.935560859188548</v>
      </c>
      <c r="G35" s="102">
        <v>57</v>
      </c>
      <c r="H35" s="103">
        <v>20.65217391304348</v>
      </c>
      <c r="I35" s="102">
        <v>5</v>
      </c>
      <c r="J35" s="104">
        <v>3</v>
      </c>
      <c r="K35" s="103">
        <v>1.0869565217391306</v>
      </c>
      <c r="L35" s="104">
        <v>1</v>
      </c>
    </row>
    <row r="36" spans="2:12">
      <c r="B36" s="34"/>
      <c r="C36" s="44" t="s">
        <v>82</v>
      </c>
      <c r="D36" s="80">
        <v>1151</v>
      </c>
      <c r="E36" s="81">
        <v>766</v>
      </c>
      <c r="F36" s="75">
        <v>66.550825369244137</v>
      </c>
      <c r="G36" s="82">
        <v>125</v>
      </c>
      <c r="H36" s="73">
        <v>16.318537859007833</v>
      </c>
      <c r="I36" s="82">
        <v>30</v>
      </c>
      <c r="J36" s="83">
        <v>7</v>
      </c>
      <c r="K36" s="73">
        <v>0.91383812010443866</v>
      </c>
      <c r="L36" s="83">
        <v>3</v>
      </c>
    </row>
    <row r="37" spans="2:12">
      <c r="B37" s="36"/>
      <c r="C37" s="37" t="s">
        <v>32</v>
      </c>
      <c r="D37" s="100">
        <v>2545</v>
      </c>
      <c r="E37" s="101">
        <v>828</v>
      </c>
      <c r="F37" s="27">
        <v>32.534381139489192</v>
      </c>
      <c r="G37" s="102">
        <v>53</v>
      </c>
      <c r="H37" s="103">
        <v>6.4009661835748801</v>
      </c>
      <c r="I37" s="102">
        <v>1</v>
      </c>
      <c r="J37" s="104">
        <v>0</v>
      </c>
      <c r="K37" s="103"/>
      <c r="L37" s="104">
        <v>1</v>
      </c>
    </row>
    <row r="38" spans="2:12">
      <c r="B38" s="36"/>
      <c r="C38" s="37" t="s">
        <v>33</v>
      </c>
      <c r="D38" s="100">
        <v>501</v>
      </c>
      <c r="E38" s="101">
        <v>199</v>
      </c>
      <c r="F38" s="27">
        <v>39.72055888223553</v>
      </c>
      <c r="G38" s="102">
        <v>21</v>
      </c>
      <c r="H38" s="103">
        <v>10.552763819095478</v>
      </c>
      <c r="I38" s="102">
        <v>2</v>
      </c>
      <c r="J38" s="104">
        <v>0</v>
      </c>
      <c r="K38" s="103"/>
      <c r="L38" s="104">
        <v>0</v>
      </c>
    </row>
    <row r="39" spans="2:12">
      <c r="B39" s="34"/>
      <c r="C39" s="37" t="s">
        <v>34</v>
      </c>
      <c r="D39" s="100">
        <v>377</v>
      </c>
      <c r="E39" s="101">
        <v>141</v>
      </c>
      <c r="F39" s="27">
        <v>37.400530503978779</v>
      </c>
      <c r="G39" s="102">
        <v>19</v>
      </c>
      <c r="H39" s="103">
        <v>13.475177304964539</v>
      </c>
      <c r="I39" s="102">
        <v>3</v>
      </c>
      <c r="J39" s="104">
        <v>2</v>
      </c>
      <c r="K39" s="103">
        <v>1.4184397163120568</v>
      </c>
      <c r="L39" s="104">
        <v>0</v>
      </c>
    </row>
    <row r="40" spans="2:12">
      <c r="B40" s="36"/>
      <c r="C40" s="37" t="s">
        <v>37</v>
      </c>
      <c r="D40" s="100">
        <v>134</v>
      </c>
      <c r="E40" s="101">
        <v>44</v>
      </c>
      <c r="F40" s="27">
        <v>32.835820895522389</v>
      </c>
      <c r="G40" s="102">
        <v>2</v>
      </c>
      <c r="H40" s="103">
        <v>4.5454545454545459</v>
      </c>
      <c r="I40" s="102">
        <v>1</v>
      </c>
      <c r="J40" s="104">
        <v>1</v>
      </c>
      <c r="K40" s="103">
        <v>2.2727272727272729</v>
      </c>
      <c r="L40" s="104">
        <v>0</v>
      </c>
    </row>
    <row r="41" spans="2:12">
      <c r="B41" s="38"/>
      <c r="C41" s="39" t="s">
        <v>28</v>
      </c>
      <c r="D41" s="29">
        <v>33445</v>
      </c>
      <c r="E41" s="30">
        <v>10960</v>
      </c>
      <c r="F41" s="31">
        <v>32.770219763791296</v>
      </c>
      <c r="G41" s="32">
        <v>714</v>
      </c>
      <c r="H41" s="106">
        <v>6.514598540145986</v>
      </c>
      <c r="I41" s="29">
        <v>105</v>
      </c>
      <c r="J41" s="32">
        <v>20</v>
      </c>
      <c r="K41" s="106">
        <v>0.18248175182481752</v>
      </c>
      <c r="L41" s="32">
        <v>15</v>
      </c>
    </row>
    <row r="42" spans="2:12" s="58" customFormat="1">
      <c r="B42" s="59" t="s">
        <v>38</v>
      </c>
      <c r="C42" s="142" t="s">
        <v>64</v>
      </c>
      <c r="D42" s="142"/>
      <c r="E42" s="142"/>
      <c r="F42" s="142"/>
      <c r="G42" s="142"/>
      <c r="H42" s="142"/>
      <c r="I42" s="142"/>
      <c r="J42" s="142"/>
      <c r="K42" s="142"/>
      <c r="L42" s="142"/>
    </row>
    <row r="43" spans="2:12" s="58" customFormat="1">
      <c r="B43" s="94" t="s">
        <v>57</v>
      </c>
      <c r="C43" s="141" t="s">
        <v>56</v>
      </c>
      <c r="D43" s="141"/>
      <c r="E43" s="141"/>
      <c r="F43" s="141"/>
      <c r="G43" s="141"/>
      <c r="H43" s="141"/>
      <c r="I43" s="141"/>
      <c r="J43" s="141"/>
      <c r="K43" s="141"/>
      <c r="L43" s="141"/>
    </row>
    <row r="44" spans="2:12" s="58" customFormat="1" ht="13.75" customHeight="1">
      <c r="B44" s="95" t="s">
        <v>58</v>
      </c>
      <c r="C44" s="143" t="s">
        <v>40</v>
      </c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12" s="58" customFormat="1" ht="13.75" customHeight="1">
      <c r="B45" s="95" t="s">
        <v>59</v>
      </c>
      <c r="C45" s="143" t="s">
        <v>60</v>
      </c>
      <c r="D45" s="143"/>
      <c r="E45" s="143"/>
      <c r="F45" s="143"/>
      <c r="G45" s="143"/>
      <c r="H45" s="143"/>
      <c r="I45" s="143"/>
      <c r="J45" s="143"/>
      <c r="K45" s="143"/>
      <c r="L45" s="143"/>
    </row>
    <row r="46" spans="2:12" s="58" customFormat="1" ht="13.75" customHeight="1">
      <c r="B46" s="95" t="s">
        <v>63</v>
      </c>
      <c r="C46" s="143" t="s">
        <v>42</v>
      </c>
      <c r="D46" s="143"/>
      <c r="E46" s="143"/>
      <c r="F46" s="143"/>
      <c r="G46" s="143"/>
      <c r="H46" s="143"/>
      <c r="I46" s="143"/>
      <c r="J46" s="143"/>
      <c r="K46" s="143"/>
      <c r="L46" s="143"/>
    </row>
    <row r="47" spans="2:12" s="58" customFormat="1" ht="13.75" customHeight="1">
      <c r="B47" s="95" t="s">
        <v>61</v>
      </c>
      <c r="C47" s="143" t="s">
        <v>44</v>
      </c>
      <c r="D47" s="143"/>
      <c r="E47" s="143"/>
      <c r="F47" s="143"/>
      <c r="G47" s="143"/>
      <c r="H47" s="143"/>
      <c r="I47" s="143"/>
      <c r="J47" s="143"/>
      <c r="K47" s="143"/>
      <c r="L47" s="143"/>
    </row>
    <row r="48" spans="2:12" s="58" customFormat="1" ht="13.75" customHeight="1">
      <c r="B48" s="57" t="s">
        <v>45</v>
      </c>
      <c r="C48" s="143" t="s">
        <v>46</v>
      </c>
      <c r="D48" s="143"/>
      <c r="E48" s="143"/>
      <c r="F48" s="143"/>
      <c r="G48" s="143"/>
      <c r="H48" s="143"/>
      <c r="I48" s="143"/>
      <c r="J48" s="143"/>
      <c r="K48" s="143"/>
      <c r="L48" s="143"/>
    </row>
    <row r="49" spans="2:12">
      <c r="F49" s="55"/>
      <c r="G49" s="55"/>
      <c r="H49" s="55"/>
      <c r="I49" s="55"/>
      <c r="J49" s="55"/>
      <c r="K49" s="56"/>
      <c r="L49" s="56"/>
    </row>
    <row r="51" spans="2:12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</sheetData>
  <mergeCells count="20">
    <mergeCell ref="C44:L44"/>
    <mergeCell ref="C45:L45"/>
    <mergeCell ref="C46:L46"/>
    <mergeCell ref="C47:L47"/>
    <mergeCell ref="C48:L48"/>
    <mergeCell ref="B2:L2"/>
    <mergeCell ref="G5:L5"/>
    <mergeCell ref="G6:H8"/>
    <mergeCell ref="J6:K8"/>
    <mergeCell ref="L6:L8"/>
    <mergeCell ref="I7:I8"/>
    <mergeCell ref="E5:E8"/>
    <mergeCell ref="F5:F8"/>
    <mergeCell ref="B5:C8"/>
    <mergeCell ref="D5:D8"/>
    <mergeCell ref="C42:L42"/>
    <mergeCell ref="C43:L43"/>
    <mergeCell ref="B9:C9"/>
    <mergeCell ref="B11:C11"/>
    <mergeCell ref="B29:C29"/>
  </mergeCells>
  <phoneticPr fontId="3"/>
  <pageMargins left="0.43" right="0.31" top="1" bottom="1" header="0.51200000000000001" footer="0.51200000000000001"/>
  <pageSetup paperSize="9" scale="70" orientation="portrait" horizontalDpi="200" verticalDpi="200" r:id="rId1"/>
  <headerFooter alignWithMargins="0">
    <oddHeader>&amp;L&amp;D　&amp;T&amp;R&amp;A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39"/>
  <sheetViews>
    <sheetView view="pageBreakPreview" zoomScaleNormal="100" zoomScaleSheetLayoutView="100" workbookViewId="0">
      <selection activeCell="A33" sqref="A33:XFD39"/>
    </sheetView>
  </sheetViews>
  <sheetFormatPr defaultColWidth="9" defaultRowHeight="14.3"/>
  <cols>
    <col min="1" max="1" width="3.625" style="58" customWidth="1"/>
    <col min="2" max="2" width="6.375" style="58" bestFit="1" customWidth="1"/>
    <col min="3" max="3" width="42.5" style="58" customWidth="1"/>
    <col min="4" max="4" width="10.375" style="58" customWidth="1"/>
    <col min="5" max="5" width="10.75" style="58" bestFit="1" customWidth="1"/>
    <col min="6" max="6" width="10.125" style="58" customWidth="1"/>
    <col min="7" max="7" width="9" style="58"/>
    <col min="8" max="8" width="7" style="58" customWidth="1"/>
    <col min="9" max="9" width="8.5" style="58" customWidth="1"/>
    <col min="10" max="10" width="7.75" style="58" customWidth="1"/>
    <col min="11" max="11" width="6.75" style="58" customWidth="1"/>
    <col min="12" max="12" width="8.125" style="58" customWidth="1"/>
    <col min="13" max="13" width="6.875" style="58" customWidth="1"/>
    <col min="14" max="16384" width="9" style="58"/>
  </cols>
  <sheetData>
    <row r="1" spans="2:12" ht="15.65">
      <c r="B1" s="45"/>
      <c r="C1" s="107"/>
      <c r="D1" s="107"/>
      <c r="E1" s="107"/>
      <c r="F1" s="107"/>
      <c r="G1" s="107"/>
      <c r="H1" s="107"/>
      <c r="I1" s="107"/>
    </row>
    <row r="2" spans="2:12" s="1" customFormat="1" ht="14.95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65</v>
      </c>
    </row>
    <row r="3" spans="2:12" s="1" customFormat="1" ht="14.95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 s="1" customFormat="1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 s="1" customFormat="1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 s="1" customFormat="1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 s="1" customFormat="1">
      <c r="B7" s="166" t="s">
        <v>11</v>
      </c>
      <c r="C7" s="167"/>
      <c r="D7" s="96">
        <v>171242</v>
      </c>
      <c r="E7" s="97">
        <v>79018</v>
      </c>
      <c r="F7" s="8">
        <v>46.144053444832458</v>
      </c>
      <c r="G7" s="25">
        <v>10822</v>
      </c>
      <c r="H7" s="14">
        <v>13.695613657647625</v>
      </c>
      <c r="I7" s="97">
        <v>1878</v>
      </c>
      <c r="J7" s="11">
        <v>659</v>
      </c>
      <c r="K7" s="98">
        <v>0.8339871927915159</v>
      </c>
      <c r="L7" s="99">
        <v>85</v>
      </c>
    </row>
    <row r="8" spans="2:12" s="1" customFormat="1">
      <c r="B8" s="51"/>
      <c r="C8" s="52"/>
      <c r="D8" s="14"/>
      <c r="E8" s="74"/>
      <c r="F8" s="16"/>
      <c r="G8" s="51"/>
      <c r="H8" s="14"/>
      <c r="I8" s="74"/>
      <c r="J8" s="54"/>
      <c r="K8" s="14"/>
      <c r="L8" s="76"/>
    </row>
    <row r="9" spans="2:12" s="1" customFormat="1" ht="14.95" customHeight="1">
      <c r="B9" s="168" t="s">
        <v>12</v>
      </c>
      <c r="C9" s="169"/>
      <c r="D9" s="23">
        <v>102977</v>
      </c>
      <c r="E9" s="24">
        <v>50494</v>
      </c>
      <c r="F9" s="16">
        <v>49.034250366586711</v>
      </c>
      <c r="G9" s="25">
        <v>7593</v>
      </c>
      <c r="H9" s="14">
        <v>15.037430189725512</v>
      </c>
      <c r="I9" s="25">
        <v>1444</v>
      </c>
      <c r="J9" s="26">
        <v>464</v>
      </c>
      <c r="K9" s="14">
        <v>0.91892105992791218</v>
      </c>
      <c r="L9" s="26">
        <v>63</v>
      </c>
    </row>
    <row r="10" spans="2:12" s="1" customFormat="1">
      <c r="B10" s="35"/>
      <c r="C10" s="43" t="s">
        <v>13</v>
      </c>
      <c r="D10" s="23">
        <v>636</v>
      </c>
      <c r="E10" s="24">
        <v>242</v>
      </c>
      <c r="F10" s="16">
        <v>38.05031446540881</v>
      </c>
      <c r="G10" s="25">
        <v>18</v>
      </c>
      <c r="H10" s="14">
        <v>7.4380165289256199</v>
      </c>
      <c r="I10" s="25">
        <v>3</v>
      </c>
      <c r="J10" s="26">
        <v>1</v>
      </c>
      <c r="K10" s="14">
        <v>0.41322314049586778</v>
      </c>
      <c r="L10" s="22">
        <v>0</v>
      </c>
    </row>
    <row r="11" spans="2:12" s="1" customFormat="1">
      <c r="B11" s="35"/>
      <c r="C11" s="43" t="s">
        <v>14</v>
      </c>
      <c r="D11" s="23">
        <v>2074</v>
      </c>
      <c r="E11" s="23">
        <v>944</v>
      </c>
      <c r="F11" s="16">
        <v>45.515911282545808</v>
      </c>
      <c r="G11" s="25">
        <v>141</v>
      </c>
      <c r="H11" s="14">
        <v>14.936440677966102</v>
      </c>
      <c r="I11" s="25">
        <v>32</v>
      </c>
      <c r="J11" s="26">
        <v>5</v>
      </c>
      <c r="K11" s="14">
        <v>0.52966101694915257</v>
      </c>
      <c r="L11" s="26">
        <v>1</v>
      </c>
    </row>
    <row r="12" spans="2:12" s="1" customFormat="1">
      <c r="B12" s="35"/>
      <c r="C12" s="43" t="s">
        <v>15</v>
      </c>
      <c r="D12" s="23">
        <v>13861</v>
      </c>
      <c r="E12" s="24">
        <v>6481</v>
      </c>
      <c r="F12" s="16">
        <v>46.757088233172212</v>
      </c>
      <c r="G12" s="25">
        <v>641</v>
      </c>
      <c r="H12" s="14">
        <v>9.8904490047832123</v>
      </c>
      <c r="I12" s="25">
        <v>106</v>
      </c>
      <c r="J12" s="26">
        <v>24</v>
      </c>
      <c r="K12" s="14">
        <v>0.37031322326801419</v>
      </c>
      <c r="L12" s="26">
        <v>8</v>
      </c>
    </row>
    <row r="13" spans="2:12" s="1" customFormat="1">
      <c r="B13" s="35"/>
      <c r="C13" s="43" t="s">
        <v>16</v>
      </c>
      <c r="D13" s="23">
        <v>4579</v>
      </c>
      <c r="E13" s="24">
        <v>2295</v>
      </c>
      <c r="F13" s="16">
        <v>50.12011356191308</v>
      </c>
      <c r="G13" s="25">
        <v>201</v>
      </c>
      <c r="H13" s="14">
        <v>8.7581699346405237</v>
      </c>
      <c r="I13" s="25">
        <v>34</v>
      </c>
      <c r="J13" s="26">
        <v>4</v>
      </c>
      <c r="K13" s="14">
        <v>0.17429193899782136</v>
      </c>
      <c r="L13" s="26">
        <v>1</v>
      </c>
    </row>
    <row r="14" spans="2:12" s="1" customFormat="1">
      <c r="B14" s="35"/>
      <c r="C14" s="43" t="s">
        <v>17</v>
      </c>
      <c r="D14" s="23">
        <v>752</v>
      </c>
      <c r="E14" s="24">
        <v>398</v>
      </c>
      <c r="F14" s="16">
        <v>52.925531914893618</v>
      </c>
      <c r="G14" s="25">
        <v>63</v>
      </c>
      <c r="H14" s="14">
        <v>15.829145728643216</v>
      </c>
      <c r="I14" s="25">
        <v>16</v>
      </c>
      <c r="J14" s="26">
        <v>4</v>
      </c>
      <c r="K14" s="14">
        <v>1.0050251256281406</v>
      </c>
      <c r="L14" s="26">
        <v>1</v>
      </c>
    </row>
    <row r="15" spans="2:12" s="1" customFormat="1">
      <c r="B15" s="35"/>
      <c r="C15" s="43" t="s">
        <v>66</v>
      </c>
      <c r="D15" s="23">
        <v>2305</v>
      </c>
      <c r="E15" s="24">
        <v>1284</v>
      </c>
      <c r="F15" s="16">
        <v>55.70498915401302</v>
      </c>
      <c r="G15" s="25">
        <v>189</v>
      </c>
      <c r="H15" s="14">
        <v>14.719626168224298</v>
      </c>
      <c r="I15" s="25">
        <v>44</v>
      </c>
      <c r="J15" s="26">
        <v>7</v>
      </c>
      <c r="K15" s="14">
        <v>0.54517133956386299</v>
      </c>
      <c r="L15" s="26">
        <v>1</v>
      </c>
    </row>
    <row r="16" spans="2:12" s="1" customFormat="1">
      <c r="B16" s="35"/>
      <c r="C16" s="43" t="s">
        <v>67</v>
      </c>
      <c r="D16" s="23">
        <v>44294</v>
      </c>
      <c r="E16" s="24">
        <v>23475</v>
      </c>
      <c r="F16" s="16">
        <v>52.99814873346277</v>
      </c>
      <c r="G16" s="25">
        <v>4334</v>
      </c>
      <c r="H16" s="14">
        <v>18.462193823216186</v>
      </c>
      <c r="I16" s="25">
        <v>882</v>
      </c>
      <c r="J16" s="26">
        <v>310</v>
      </c>
      <c r="K16" s="14">
        <v>1.3205537806176784</v>
      </c>
      <c r="L16" s="26">
        <v>30</v>
      </c>
    </row>
    <row r="17" spans="2:12" s="1" customFormat="1">
      <c r="B17" s="35"/>
      <c r="C17" s="43" t="s">
        <v>68</v>
      </c>
      <c r="D17" s="23">
        <v>10390</v>
      </c>
      <c r="E17" s="24">
        <v>4888</v>
      </c>
      <c r="F17" s="16">
        <v>47.045235803657363</v>
      </c>
      <c r="G17" s="25">
        <v>723</v>
      </c>
      <c r="H17" s="14">
        <v>14.791325695581014</v>
      </c>
      <c r="I17" s="25">
        <v>114</v>
      </c>
      <c r="J17" s="26">
        <v>53</v>
      </c>
      <c r="K17" s="14">
        <v>1.0842880523731586</v>
      </c>
      <c r="L17" s="26">
        <v>7</v>
      </c>
    </row>
    <row r="18" spans="2:12" s="1" customFormat="1">
      <c r="B18" s="35"/>
      <c r="C18" s="43" t="s">
        <v>21</v>
      </c>
      <c r="D18" s="23">
        <v>2212</v>
      </c>
      <c r="E18" s="24">
        <v>1033</v>
      </c>
      <c r="F18" s="16">
        <v>46.699819168173597</v>
      </c>
      <c r="G18" s="25">
        <v>204</v>
      </c>
      <c r="H18" s="14">
        <v>19.748305905130689</v>
      </c>
      <c r="I18" s="25">
        <v>33</v>
      </c>
      <c r="J18" s="26">
        <v>8</v>
      </c>
      <c r="K18" s="14">
        <v>0.77444336882865439</v>
      </c>
      <c r="L18" s="22">
        <v>0</v>
      </c>
    </row>
    <row r="19" spans="2:12" s="1" customFormat="1">
      <c r="B19" s="35"/>
      <c r="C19" s="43" t="s">
        <v>22</v>
      </c>
      <c r="D19" s="23">
        <v>885</v>
      </c>
      <c r="E19" s="24">
        <v>352</v>
      </c>
      <c r="F19" s="16">
        <v>39.774011299435031</v>
      </c>
      <c r="G19" s="25">
        <v>49</v>
      </c>
      <c r="H19" s="14">
        <v>13.920454545454545</v>
      </c>
      <c r="I19" s="25">
        <v>9</v>
      </c>
      <c r="J19" s="26">
        <v>2</v>
      </c>
      <c r="K19" s="14">
        <v>0.56818181818181823</v>
      </c>
      <c r="L19" s="22">
        <v>1</v>
      </c>
    </row>
    <row r="20" spans="2:12" s="1" customFormat="1">
      <c r="B20" s="35"/>
      <c r="C20" s="43" t="s">
        <v>23</v>
      </c>
      <c r="D20" s="23">
        <v>1569</v>
      </c>
      <c r="E20" s="24">
        <v>583</v>
      </c>
      <c r="F20" s="16">
        <v>37.157425111536007</v>
      </c>
      <c r="G20" s="25">
        <v>70</v>
      </c>
      <c r="H20" s="14">
        <v>12.006861063464838</v>
      </c>
      <c r="I20" s="25">
        <v>11</v>
      </c>
      <c r="J20" s="26">
        <v>2</v>
      </c>
      <c r="K20" s="14">
        <v>0.34305317324185247</v>
      </c>
      <c r="L20" s="26">
        <v>0</v>
      </c>
    </row>
    <row r="21" spans="2:12" s="1" customFormat="1">
      <c r="B21" s="35"/>
      <c r="C21" s="43" t="s">
        <v>24</v>
      </c>
      <c r="D21" s="23">
        <v>521</v>
      </c>
      <c r="E21" s="24">
        <v>168</v>
      </c>
      <c r="F21" s="16">
        <v>32.245681381957773</v>
      </c>
      <c r="G21" s="25">
        <v>13</v>
      </c>
      <c r="H21" s="14">
        <v>7.7380952380952381</v>
      </c>
      <c r="I21" s="25">
        <v>2</v>
      </c>
      <c r="J21" s="26">
        <v>0</v>
      </c>
      <c r="K21" s="14"/>
      <c r="L21" s="22">
        <v>0</v>
      </c>
    </row>
    <row r="22" spans="2:12" s="1" customFormat="1">
      <c r="B22" s="35"/>
      <c r="C22" s="43" t="s">
        <v>25</v>
      </c>
      <c r="D22" s="23">
        <v>161</v>
      </c>
      <c r="E22" s="24">
        <v>42</v>
      </c>
      <c r="F22" s="16">
        <v>26.086956521739129</v>
      </c>
      <c r="G22" s="9">
        <v>0</v>
      </c>
      <c r="H22" s="14"/>
      <c r="I22" s="22">
        <v>0</v>
      </c>
      <c r="J22" s="22">
        <v>0</v>
      </c>
      <c r="K22" s="14"/>
      <c r="L22" s="22">
        <v>0</v>
      </c>
    </row>
    <row r="23" spans="2:12" s="1" customFormat="1">
      <c r="B23" s="35"/>
      <c r="C23" s="43" t="s">
        <v>26</v>
      </c>
      <c r="D23" s="23">
        <v>2852</v>
      </c>
      <c r="E23" s="24">
        <v>1408</v>
      </c>
      <c r="F23" s="16">
        <v>49.36886395511921</v>
      </c>
      <c r="G23" s="25">
        <v>214</v>
      </c>
      <c r="H23" s="14">
        <v>15.198863636363637</v>
      </c>
      <c r="I23" s="25">
        <v>51</v>
      </c>
      <c r="J23" s="26">
        <v>19</v>
      </c>
      <c r="K23" s="14">
        <v>1.3494318181818181</v>
      </c>
      <c r="L23" s="22">
        <v>2</v>
      </c>
    </row>
    <row r="24" spans="2:12" s="1" customFormat="1">
      <c r="B24" s="35"/>
      <c r="C24" s="43" t="s">
        <v>27</v>
      </c>
      <c r="D24" s="23">
        <v>1216</v>
      </c>
      <c r="E24" s="24">
        <v>749</v>
      </c>
      <c r="F24" s="16">
        <v>61.595394736842103</v>
      </c>
      <c r="G24" s="25">
        <v>70</v>
      </c>
      <c r="H24" s="14">
        <v>9.3457943925233646</v>
      </c>
      <c r="I24" s="25">
        <v>8</v>
      </c>
      <c r="J24" s="26">
        <v>2</v>
      </c>
      <c r="K24" s="14">
        <v>0.26702269692923897</v>
      </c>
      <c r="L24" s="22">
        <v>2</v>
      </c>
    </row>
    <row r="25" spans="2:12" s="1" customFormat="1">
      <c r="B25" s="34"/>
      <c r="C25" s="44" t="s">
        <v>28</v>
      </c>
      <c r="D25" s="23">
        <v>14670</v>
      </c>
      <c r="E25" s="24">
        <v>6152</v>
      </c>
      <c r="F25" s="16">
        <v>41.935923653715065</v>
      </c>
      <c r="G25" s="25">
        <v>663</v>
      </c>
      <c r="H25" s="14">
        <v>10.776983094928479</v>
      </c>
      <c r="I25" s="23">
        <v>99</v>
      </c>
      <c r="J25" s="26">
        <v>23</v>
      </c>
      <c r="K25" s="14">
        <v>0.37386215864759426</v>
      </c>
      <c r="L25" s="26">
        <v>9</v>
      </c>
    </row>
    <row r="26" spans="2:12" s="1" customFormat="1">
      <c r="B26" s="34"/>
      <c r="C26" s="44"/>
      <c r="D26" s="23"/>
      <c r="E26" s="24"/>
      <c r="F26" s="16"/>
      <c r="G26" s="25"/>
      <c r="H26" s="14"/>
      <c r="I26" s="25"/>
      <c r="J26" s="26"/>
      <c r="K26" s="14"/>
      <c r="L26" s="26"/>
    </row>
    <row r="27" spans="2:12" s="1" customFormat="1" ht="14.95" customHeight="1">
      <c r="B27" s="170" t="s">
        <v>29</v>
      </c>
      <c r="C27" s="171"/>
      <c r="D27" s="23">
        <v>68265</v>
      </c>
      <c r="E27" s="24">
        <v>28524</v>
      </c>
      <c r="F27" s="16">
        <v>41.784223247637883</v>
      </c>
      <c r="G27" s="25">
        <v>3229</v>
      </c>
      <c r="H27" s="14">
        <v>11.320291684195764</v>
      </c>
      <c r="I27" s="25">
        <v>434</v>
      </c>
      <c r="J27" s="26">
        <v>195</v>
      </c>
      <c r="K27" s="14">
        <v>0.68363483382414802</v>
      </c>
      <c r="L27" s="26">
        <v>22</v>
      </c>
    </row>
    <row r="28" spans="2:12" s="1" customFormat="1">
      <c r="B28" s="34"/>
      <c r="C28" s="44" t="s">
        <v>30</v>
      </c>
      <c r="D28" s="23">
        <v>1245</v>
      </c>
      <c r="E28" s="24">
        <v>252</v>
      </c>
      <c r="F28" s="16">
        <v>20.240963855421686</v>
      </c>
      <c r="G28" s="25">
        <v>8</v>
      </c>
      <c r="H28" s="14">
        <v>3.1746031746031744</v>
      </c>
      <c r="I28" s="25">
        <v>2</v>
      </c>
      <c r="J28" s="22">
        <v>0</v>
      </c>
      <c r="K28" s="9"/>
      <c r="L28" s="26">
        <v>1</v>
      </c>
    </row>
    <row r="29" spans="2:12" s="1" customFormat="1">
      <c r="B29" s="36"/>
      <c r="C29" s="40" t="s">
        <v>47</v>
      </c>
      <c r="D29" s="23">
        <v>2833</v>
      </c>
      <c r="E29" s="24">
        <v>1300</v>
      </c>
      <c r="F29" s="16">
        <v>45.887751500176492</v>
      </c>
      <c r="G29" s="25">
        <v>91</v>
      </c>
      <c r="H29" s="14">
        <v>7</v>
      </c>
      <c r="I29" s="25">
        <v>15</v>
      </c>
      <c r="J29" s="26">
        <v>4</v>
      </c>
      <c r="K29" s="14">
        <v>0.30769230769230771</v>
      </c>
      <c r="L29" s="22">
        <v>1</v>
      </c>
    </row>
    <row r="30" spans="2:12" s="1" customFormat="1">
      <c r="B30" s="36"/>
      <c r="C30" s="44" t="s">
        <v>35</v>
      </c>
      <c r="D30" s="23">
        <v>16471</v>
      </c>
      <c r="E30" s="24">
        <v>11381</v>
      </c>
      <c r="F30" s="16">
        <v>69.097201141400035</v>
      </c>
      <c r="G30" s="25">
        <v>1879</v>
      </c>
      <c r="H30" s="14">
        <v>16.509972761620244</v>
      </c>
      <c r="I30" s="25">
        <v>246</v>
      </c>
      <c r="J30" s="26">
        <v>151</v>
      </c>
      <c r="K30" s="14">
        <v>1.3267726913276514</v>
      </c>
      <c r="L30" s="26">
        <v>14</v>
      </c>
    </row>
    <row r="31" spans="2:12" s="1" customFormat="1">
      <c r="B31" s="36"/>
      <c r="C31" s="41" t="s">
        <v>69</v>
      </c>
      <c r="D31" s="23">
        <v>1473</v>
      </c>
      <c r="E31" s="24">
        <v>875</v>
      </c>
      <c r="F31" s="16">
        <v>59.402579769178544</v>
      </c>
      <c r="G31" s="25">
        <v>123</v>
      </c>
      <c r="H31" s="14">
        <v>14.057142857142857</v>
      </c>
      <c r="I31" s="25">
        <v>26</v>
      </c>
      <c r="J31" s="26">
        <v>15</v>
      </c>
      <c r="K31" s="14">
        <v>1.7142857142857142</v>
      </c>
      <c r="L31" s="26">
        <v>0</v>
      </c>
    </row>
    <row r="32" spans="2:12" s="1" customFormat="1">
      <c r="B32" s="36"/>
      <c r="C32" s="39" t="s">
        <v>28</v>
      </c>
      <c r="D32" s="29">
        <v>46243</v>
      </c>
      <c r="E32" s="30">
        <v>14716</v>
      </c>
      <c r="F32" s="31">
        <v>31.823194861925046</v>
      </c>
      <c r="G32" s="32">
        <v>1128</v>
      </c>
      <c r="H32" s="106">
        <v>7.6651263930415876</v>
      </c>
      <c r="I32" s="29">
        <v>145</v>
      </c>
      <c r="J32" s="32">
        <v>25</v>
      </c>
      <c r="K32" s="106">
        <v>0.16988312041315576</v>
      </c>
      <c r="L32" s="32">
        <v>6</v>
      </c>
    </row>
    <row r="33" spans="2:12">
      <c r="B33" s="59" t="s">
        <v>38</v>
      </c>
      <c r="C33" s="142" t="s">
        <v>70</v>
      </c>
      <c r="D33" s="142"/>
      <c r="E33" s="142"/>
      <c r="F33" s="142"/>
      <c r="G33" s="142"/>
      <c r="H33" s="142"/>
      <c r="I33" s="142"/>
      <c r="J33" s="142"/>
      <c r="K33" s="142"/>
      <c r="L33" s="142"/>
    </row>
    <row r="34" spans="2:12">
      <c r="B34" s="94" t="s">
        <v>57</v>
      </c>
      <c r="C34" s="141" t="s">
        <v>56</v>
      </c>
      <c r="D34" s="141"/>
      <c r="E34" s="141"/>
      <c r="F34" s="141"/>
      <c r="G34" s="141"/>
      <c r="H34" s="141"/>
      <c r="I34" s="141"/>
      <c r="J34" s="141"/>
      <c r="K34" s="141"/>
      <c r="L34" s="141"/>
    </row>
    <row r="35" spans="2:12" ht="13.75" customHeight="1">
      <c r="B35" s="95" t="s">
        <v>58</v>
      </c>
      <c r="C35" s="143" t="s">
        <v>40</v>
      </c>
      <c r="D35" s="143"/>
      <c r="E35" s="143"/>
      <c r="F35" s="143"/>
      <c r="G35" s="143"/>
      <c r="H35" s="143"/>
      <c r="I35" s="143"/>
      <c r="J35" s="143"/>
      <c r="K35" s="143"/>
      <c r="L35" s="143"/>
    </row>
    <row r="36" spans="2:12" ht="13.75" customHeight="1">
      <c r="B36" s="95" t="s">
        <v>59</v>
      </c>
      <c r="C36" s="143" t="s">
        <v>60</v>
      </c>
      <c r="D36" s="143"/>
      <c r="E36" s="143"/>
      <c r="F36" s="143"/>
      <c r="G36" s="143"/>
      <c r="H36" s="143"/>
      <c r="I36" s="143"/>
      <c r="J36" s="143"/>
      <c r="K36" s="143"/>
      <c r="L36" s="143"/>
    </row>
    <row r="37" spans="2:12" ht="13.75" customHeight="1">
      <c r="B37" s="95" t="s">
        <v>63</v>
      </c>
      <c r="C37" s="143" t="s">
        <v>42</v>
      </c>
      <c r="D37" s="143"/>
      <c r="E37" s="143"/>
      <c r="F37" s="143"/>
      <c r="G37" s="143"/>
      <c r="H37" s="143"/>
      <c r="I37" s="143"/>
      <c r="J37" s="143"/>
      <c r="K37" s="143"/>
      <c r="L37" s="143"/>
    </row>
    <row r="38" spans="2:12" ht="13.75" customHeight="1">
      <c r="B38" s="95" t="s">
        <v>61</v>
      </c>
      <c r="C38" s="143" t="s">
        <v>44</v>
      </c>
      <c r="D38" s="143"/>
      <c r="E38" s="143"/>
      <c r="F38" s="143"/>
      <c r="G38" s="143"/>
      <c r="H38" s="143"/>
      <c r="I38" s="143"/>
      <c r="J38" s="143"/>
      <c r="K38" s="143"/>
      <c r="L38" s="143"/>
    </row>
    <row r="39" spans="2:12" ht="13.75" customHeight="1">
      <c r="B39" s="57" t="s">
        <v>45</v>
      </c>
      <c r="C39" s="143" t="s">
        <v>46</v>
      </c>
      <c r="D39" s="143"/>
      <c r="E39" s="143"/>
      <c r="F39" s="143"/>
      <c r="G39" s="143"/>
      <c r="H39" s="143"/>
      <c r="I39" s="143"/>
      <c r="J39" s="143"/>
      <c r="K39" s="143"/>
      <c r="L39" s="143"/>
    </row>
  </sheetData>
  <mergeCells count="19">
    <mergeCell ref="C36:L36"/>
    <mergeCell ref="C37:L37"/>
    <mergeCell ref="C38:L38"/>
    <mergeCell ref="C39:L39"/>
    <mergeCell ref="C33:L33"/>
    <mergeCell ref="C34:L34"/>
    <mergeCell ref="C35:L35"/>
    <mergeCell ref="B9:C9"/>
    <mergeCell ref="B27:C27"/>
    <mergeCell ref="G3:L3"/>
    <mergeCell ref="B3:C6"/>
    <mergeCell ref="E3:E6"/>
    <mergeCell ref="F3:F6"/>
    <mergeCell ref="D3:D6"/>
    <mergeCell ref="G4:H6"/>
    <mergeCell ref="J4:K6"/>
    <mergeCell ref="L4:L6"/>
    <mergeCell ref="I5:I6"/>
    <mergeCell ref="B7:C7"/>
  </mergeCells>
  <phoneticPr fontId="3"/>
  <pageMargins left="0.75" right="0.75" top="1" bottom="1" header="0.51200000000000001" footer="0.51200000000000001"/>
  <pageSetup paperSize="9" scale="67" orientation="portrait" horizontalDpi="200" verticalDpi="200" r:id="rId1"/>
  <headerFooter alignWithMargins="0">
    <oddHeader>&amp;L&amp;D&amp;T&amp;R&amp;A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L60"/>
  <sheetViews>
    <sheetView view="pageBreakPreview" zoomScaleNormal="100" zoomScaleSheetLayoutView="100" workbookViewId="0">
      <selection activeCell="O17" sqref="O17"/>
    </sheetView>
  </sheetViews>
  <sheetFormatPr defaultColWidth="9" defaultRowHeight="13.75" customHeight="1"/>
  <cols>
    <col min="1" max="1" width="3.625" style="58" customWidth="1"/>
    <col min="2" max="2" width="6.375" style="58" bestFit="1" customWidth="1"/>
    <col min="3" max="3" width="42.5" style="58" customWidth="1"/>
    <col min="4" max="4" width="10.375" style="58" customWidth="1"/>
    <col min="5" max="5" width="10.75" style="58" bestFit="1" customWidth="1"/>
    <col min="6" max="6" width="10.125" style="58" customWidth="1"/>
    <col min="7" max="7" width="9" style="58"/>
    <col min="8" max="8" width="7" style="58" customWidth="1"/>
    <col min="9" max="9" width="8.5" style="58" customWidth="1"/>
    <col min="10" max="10" width="7.75" style="58" customWidth="1"/>
    <col min="11" max="11" width="6.75" style="58" customWidth="1"/>
    <col min="12" max="12" width="8.125" style="58" customWidth="1"/>
    <col min="13" max="13" width="6.875" style="58" customWidth="1"/>
    <col min="14" max="16384" width="9" style="58"/>
  </cols>
  <sheetData>
    <row r="1" spans="2:12" ht="13.75" customHeight="1">
      <c r="B1" s="45"/>
      <c r="C1" s="107"/>
      <c r="D1" s="107"/>
      <c r="E1" s="107"/>
      <c r="F1" s="107"/>
      <c r="G1" s="107"/>
      <c r="H1" s="107"/>
      <c r="I1" s="107"/>
    </row>
    <row r="2" spans="2:12" s="1" customFormat="1" ht="14.95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71</v>
      </c>
    </row>
    <row r="3" spans="2:12" s="1" customFormat="1" ht="14.95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 s="1" customFormat="1" ht="14.3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 s="1" customFormat="1" ht="14.3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 s="1" customFormat="1" ht="14.3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 ht="13.75" customHeight="1">
      <c r="B7" s="166" t="s">
        <v>11</v>
      </c>
      <c r="C7" s="167"/>
      <c r="D7" s="96">
        <f>180040-25</f>
        <v>180015</v>
      </c>
      <c r="E7" s="97">
        <v>83266</v>
      </c>
      <c r="F7" s="8">
        <f>E7/D7*100</f>
        <v>46.255034302696998</v>
      </c>
      <c r="G7" s="25">
        <v>12394</v>
      </c>
      <c r="H7" s="14">
        <f>G7/E7%</f>
        <v>14.884826940167656</v>
      </c>
      <c r="I7" s="97">
        <f>2105+212</f>
        <v>2317</v>
      </c>
      <c r="J7" s="11">
        <v>862</v>
      </c>
      <c r="K7" s="98">
        <f>J7/E7%</f>
        <v>1.0352364710686235</v>
      </c>
      <c r="L7" s="99">
        <v>80</v>
      </c>
    </row>
    <row r="8" spans="2:12" ht="13.75" customHeight="1">
      <c r="B8" s="51"/>
      <c r="C8" s="52"/>
      <c r="D8" s="14"/>
      <c r="E8" s="74"/>
      <c r="F8" s="16"/>
      <c r="G8" s="51"/>
      <c r="H8" s="14"/>
      <c r="I8" s="74"/>
      <c r="J8" s="54"/>
      <c r="K8" s="14"/>
      <c r="L8" s="76"/>
    </row>
    <row r="9" spans="2:12" ht="13.75" customHeight="1">
      <c r="B9" s="168" t="s">
        <v>12</v>
      </c>
      <c r="C9" s="169"/>
      <c r="D9" s="23">
        <f>110294-14</f>
        <v>110280</v>
      </c>
      <c r="E9" s="24">
        <v>54360</v>
      </c>
      <c r="F9" s="16">
        <f t="shared" ref="F9:F25" si="0">E9/D9*100</f>
        <v>49.29270946681175</v>
      </c>
      <c r="G9" s="25">
        <v>8876</v>
      </c>
      <c r="H9" s="14">
        <f t="shared" ref="H9:H22" si="1">G9/E9%</f>
        <v>16.328182487122884</v>
      </c>
      <c r="I9" s="25">
        <f>1618+146</f>
        <v>1764</v>
      </c>
      <c r="J9" s="26">
        <v>632</v>
      </c>
      <c r="K9" s="14">
        <f t="shared" ref="K9:K21" si="2">J9/E9%</f>
        <v>1.1626195732155997</v>
      </c>
      <c r="L9" s="26">
        <v>47</v>
      </c>
    </row>
    <row r="10" spans="2:12" ht="13.75" customHeight="1">
      <c r="B10" s="35"/>
      <c r="C10" s="43" t="s">
        <v>13</v>
      </c>
      <c r="D10" s="23">
        <f>690+6+38</f>
        <v>734</v>
      </c>
      <c r="E10" s="24">
        <f>298+1+12</f>
        <v>311</v>
      </c>
      <c r="F10" s="16">
        <f t="shared" si="0"/>
        <v>42.370572207084464</v>
      </c>
      <c r="G10" s="25">
        <f>22+1</f>
        <v>23</v>
      </c>
      <c r="H10" s="14">
        <f t="shared" si="1"/>
        <v>7.3954983922829589</v>
      </c>
      <c r="I10" s="25">
        <f>3+1+1</f>
        <v>5</v>
      </c>
      <c r="J10" s="26">
        <v>4</v>
      </c>
      <c r="K10" s="14">
        <f t="shared" si="2"/>
        <v>1.2861736334405145</v>
      </c>
      <c r="L10" s="22">
        <v>0</v>
      </c>
    </row>
    <row r="11" spans="2:12" ht="13.75" customHeight="1">
      <c r="B11" s="35"/>
      <c r="C11" s="43" t="s">
        <v>14</v>
      </c>
      <c r="D11" s="23">
        <f>1413+1001+149</f>
        <v>2563</v>
      </c>
      <c r="E11" s="23">
        <f>620+427+56</f>
        <v>1103</v>
      </c>
      <c r="F11" s="16">
        <f t="shared" si="0"/>
        <v>43.035505267264924</v>
      </c>
      <c r="G11" s="25">
        <f>70+66+9</f>
        <v>145</v>
      </c>
      <c r="H11" s="14">
        <f t="shared" si="1"/>
        <v>13.14596554850408</v>
      </c>
      <c r="I11" s="25">
        <f>5+1+10+3</f>
        <v>19</v>
      </c>
      <c r="J11" s="26">
        <f>7+4+2</f>
        <v>13</v>
      </c>
      <c r="K11" s="14">
        <f t="shared" si="2"/>
        <v>1.1786038077969176</v>
      </c>
      <c r="L11" s="26">
        <v>1</v>
      </c>
    </row>
    <row r="12" spans="2:12" ht="13.75" customHeight="1">
      <c r="B12" s="35"/>
      <c r="C12" s="43" t="s">
        <v>15</v>
      </c>
      <c r="D12" s="23">
        <f>15446-1</f>
        <v>15445</v>
      </c>
      <c r="E12" s="24">
        <v>7190</v>
      </c>
      <c r="F12" s="16">
        <f t="shared" si="0"/>
        <v>46.552282292003881</v>
      </c>
      <c r="G12" s="25">
        <v>746</v>
      </c>
      <c r="H12" s="14">
        <f t="shared" si="1"/>
        <v>10.375521557719054</v>
      </c>
      <c r="I12" s="25">
        <f>131+5</f>
        <v>136</v>
      </c>
      <c r="J12" s="26">
        <v>25</v>
      </c>
      <c r="K12" s="14">
        <f t="shared" si="2"/>
        <v>0.34770514603616132</v>
      </c>
      <c r="L12" s="26">
        <v>8</v>
      </c>
    </row>
    <row r="13" spans="2:12" ht="13.75" customHeight="1">
      <c r="B13" s="35"/>
      <c r="C13" s="43" t="s">
        <v>16</v>
      </c>
      <c r="D13" s="23">
        <v>4999</v>
      </c>
      <c r="E13" s="24">
        <v>2469</v>
      </c>
      <c r="F13" s="16">
        <f t="shared" si="0"/>
        <v>49.38987797559512</v>
      </c>
      <c r="G13" s="25">
        <v>235</v>
      </c>
      <c r="H13" s="14">
        <f t="shared" si="1"/>
        <v>9.5180234912920199</v>
      </c>
      <c r="I13" s="25">
        <f>43+1</f>
        <v>44</v>
      </c>
      <c r="J13" s="26">
        <v>6</v>
      </c>
      <c r="K13" s="14">
        <f t="shared" si="2"/>
        <v>0.24301336573511542</v>
      </c>
      <c r="L13" s="26">
        <v>1</v>
      </c>
    </row>
    <row r="14" spans="2:12" ht="13.75" customHeight="1">
      <c r="B14" s="35"/>
      <c r="C14" s="43" t="s">
        <v>17</v>
      </c>
      <c r="D14" s="23">
        <v>840</v>
      </c>
      <c r="E14" s="24">
        <v>465</v>
      </c>
      <c r="F14" s="16">
        <f t="shared" si="0"/>
        <v>55.357142857142861</v>
      </c>
      <c r="G14" s="25">
        <v>55</v>
      </c>
      <c r="H14" s="14">
        <f t="shared" si="1"/>
        <v>11.82795698924731</v>
      </c>
      <c r="I14" s="25">
        <v>16</v>
      </c>
      <c r="J14" s="26">
        <v>3</v>
      </c>
      <c r="K14" s="14">
        <f t="shared" si="2"/>
        <v>0.64516129032258063</v>
      </c>
      <c r="L14" s="26">
        <v>1</v>
      </c>
    </row>
    <row r="15" spans="2:12" ht="13.75" customHeight="1">
      <c r="B15" s="35"/>
      <c r="C15" s="43" t="s">
        <v>66</v>
      </c>
      <c r="D15" s="23">
        <v>2807</v>
      </c>
      <c r="E15" s="24">
        <v>1624</v>
      </c>
      <c r="F15" s="16">
        <f t="shared" si="0"/>
        <v>57.855361596009978</v>
      </c>
      <c r="G15" s="25">
        <v>245</v>
      </c>
      <c r="H15" s="14">
        <f t="shared" si="1"/>
        <v>15.086206896551726</v>
      </c>
      <c r="I15" s="25">
        <f>42+2</f>
        <v>44</v>
      </c>
      <c r="J15" s="26">
        <v>8</v>
      </c>
      <c r="K15" s="14">
        <f t="shared" si="2"/>
        <v>0.49261083743842371</v>
      </c>
      <c r="L15" s="26">
        <v>0</v>
      </c>
    </row>
    <row r="16" spans="2:12" ht="13.75" customHeight="1">
      <c r="B16" s="35"/>
      <c r="C16" s="43" t="s">
        <v>67</v>
      </c>
      <c r="D16" s="23">
        <f>44568-3</f>
        <v>44565</v>
      </c>
      <c r="E16" s="24">
        <v>24257</v>
      </c>
      <c r="F16" s="16">
        <f t="shared" si="0"/>
        <v>54.43060697857063</v>
      </c>
      <c r="G16" s="25">
        <v>5124</v>
      </c>
      <c r="H16" s="14">
        <f t="shared" si="1"/>
        <v>21.123799315661458</v>
      </c>
      <c r="I16" s="25">
        <f>914+118</f>
        <v>1032</v>
      </c>
      <c r="J16" s="26">
        <v>447</v>
      </c>
      <c r="K16" s="14">
        <f t="shared" si="2"/>
        <v>1.8427670363194131</v>
      </c>
      <c r="L16" s="26">
        <v>31</v>
      </c>
    </row>
    <row r="17" spans="2:12" ht="13.75" customHeight="1">
      <c r="B17" s="35"/>
      <c r="C17" s="43" t="s">
        <v>68</v>
      </c>
      <c r="D17" s="23">
        <f>12321-1</f>
        <v>12320</v>
      </c>
      <c r="E17" s="24">
        <v>5586</v>
      </c>
      <c r="F17" s="16">
        <f t="shared" si="0"/>
        <v>45.340909090909093</v>
      </c>
      <c r="G17" s="25">
        <v>867</v>
      </c>
      <c r="H17" s="14">
        <f t="shared" si="1"/>
        <v>15.52094522019334</v>
      </c>
      <c r="I17" s="25">
        <f>166+11</f>
        <v>177</v>
      </c>
      <c r="J17" s="26">
        <v>70</v>
      </c>
      <c r="K17" s="14">
        <f t="shared" si="2"/>
        <v>1.2531328320802004</v>
      </c>
      <c r="L17" s="26">
        <v>1</v>
      </c>
    </row>
    <row r="18" spans="2:12" ht="13.75" customHeight="1">
      <c r="B18" s="35"/>
      <c r="C18" s="43" t="s">
        <v>21</v>
      </c>
      <c r="D18" s="23">
        <f>2435-1</f>
        <v>2434</v>
      </c>
      <c r="E18" s="24">
        <v>1090</v>
      </c>
      <c r="F18" s="16">
        <f t="shared" si="0"/>
        <v>44.782251437962202</v>
      </c>
      <c r="G18" s="25">
        <v>237</v>
      </c>
      <c r="H18" s="14">
        <f t="shared" si="1"/>
        <v>21.743119266055047</v>
      </c>
      <c r="I18" s="25">
        <v>46</v>
      </c>
      <c r="J18" s="26">
        <v>3</v>
      </c>
      <c r="K18" s="14">
        <f t="shared" si="2"/>
        <v>0.27522935779816515</v>
      </c>
      <c r="L18" s="22">
        <v>0</v>
      </c>
    </row>
    <row r="19" spans="2:12" ht="13.75" customHeight="1">
      <c r="B19" s="35"/>
      <c r="C19" s="43" t="s">
        <v>22</v>
      </c>
      <c r="D19" s="23">
        <v>953</v>
      </c>
      <c r="E19" s="24">
        <v>399</v>
      </c>
      <c r="F19" s="16">
        <f t="shared" si="0"/>
        <v>41.867785939139559</v>
      </c>
      <c r="G19" s="25">
        <v>60</v>
      </c>
      <c r="H19" s="14">
        <f t="shared" si="1"/>
        <v>15.037593984962406</v>
      </c>
      <c r="I19" s="25">
        <v>18</v>
      </c>
      <c r="J19" s="26">
        <v>2</v>
      </c>
      <c r="K19" s="14">
        <f t="shared" si="2"/>
        <v>0.50125313283208017</v>
      </c>
      <c r="L19" s="22">
        <v>0</v>
      </c>
    </row>
    <row r="20" spans="2:12" ht="13.75" customHeight="1">
      <c r="B20" s="35"/>
      <c r="C20" s="43" t="s">
        <v>23</v>
      </c>
      <c r="D20" s="23">
        <v>1661</v>
      </c>
      <c r="E20" s="24">
        <v>590</v>
      </c>
      <c r="F20" s="16">
        <f t="shared" si="0"/>
        <v>35.520770620108365</v>
      </c>
      <c r="G20" s="25">
        <v>70</v>
      </c>
      <c r="H20" s="14">
        <f t="shared" si="1"/>
        <v>11.864406779661016</v>
      </c>
      <c r="I20" s="25">
        <v>20</v>
      </c>
      <c r="J20" s="26">
        <v>2</v>
      </c>
      <c r="K20" s="14">
        <f t="shared" si="2"/>
        <v>0.33898305084745761</v>
      </c>
      <c r="L20" s="26">
        <v>1</v>
      </c>
    </row>
    <row r="21" spans="2:12" ht="13.75" customHeight="1">
      <c r="B21" s="35"/>
      <c r="C21" s="43" t="s">
        <v>24</v>
      </c>
      <c r="D21" s="23">
        <v>574</v>
      </c>
      <c r="E21" s="24">
        <v>208</v>
      </c>
      <c r="F21" s="16">
        <f t="shared" si="0"/>
        <v>36.236933797909408</v>
      </c>
      <c r="G21" s="25">
        <v>18</v>
      </c>
      <c r="H21" s="14">
        <f t="shared" si="1"/>
        <v>8.6538461538461533</v>
      </c>
      <c r="I21" s="25">
        <f>1+1</f>
        <v>2</v>
      </c>
      <c r="J21" s="26">
        <v>2</v>
      </c>
      <c r="K21" s="14">
        <f t="shared" si="2"/>
        <v>0.96153846153846145</v>
      </c>
      <c r="L21" s="22">
        <v>0</v>
      </c>
    </row>
    <row r="22" spans="2:12" ht="13.75" customHeight="1">
      <c r="B22" s="35"/>
      <c r="C22" s="43" t="s">
        <v>25</v>
      </c>
      <c r="D22" s="23">
        <f>118+111</f>
        <v>229</v>
      </c>
      <c r="E22" s="24">
        <f>33+34</f>
        <v>67</v>
      </c>
      <c r="F22" s="16">
        <f t="shared" si="0"/>
        <v>29.257641921397383</v>
      </c>
      <c r="G22" s="9">
        <f>1+2</f>
        <v>3</v>
      </c>
      <c r="H22" s="14">
        <f t="shared" si="1"/>
        <v>4.4776119402985071</v>
      </c>
      <c r="I22" s="22">
        <v>0</v>
      </c>
      <c r="J22" s="22">
        <v>0</v>
      </c>
      <c r="K22" s="14"/>
      <c r="L22" s="22">
        <v>0</v>
      </c>
    </row>
    <row r="23" spans="2:12" ht="13.75" customHeight="1">
      <c r="B23" s="35"/>
      <c r="C23" s="43" t="s">
        <v>26</v>
      </c>
      <c r="D23" s="23">
        <f>3386-5</f>
        <v>3381</v>
      </c>
      <c r="E23" s="24">
        <v>1641</v>
      </c>
      <c r="F23" s="16">
        <f t="shared" si="0"/>
        <v>48.535936113575865</v>
      </c>
      <c r="G23" s="25">
        <v>261</v>
      </c>
      <c r="H23" s="14">
        <f>G23/E23%</f>
        <v>15.904936014625228</v>
      </c>
      <c r="I23" s="25">
        <f>63+2</f>
        <v>65</v>
      </c>
      <c r="J23" s="26">
        <v>15</v>
      </c>
      <c r="K23" s="14">
        <f>J23/E23%</f>
        <v>0.91407678244972579</v>
      </c>
      <c r="L23" s="22">
        <v>0</v>
      </c>
    </row>
    <row r="24" spans="2:12" ht="13.75" customHeight="1">
      <c r="B24" s="35"/>
      <c r="C24" s="43" t="s">
        <v>27</v>
      </c>
      <c r="D24" s="23">
        <v>1496</v>
      </c>
      <c r="E24" s="24">
        <v>929</v>
      </c>
      <c r="F24" s="16">
        <f t="shared" si="0"/>
        <v>62.098930481283418</v>
      </c>
      <c r="G24" s="25">
        <v>76</v>
      </c>
      <c r="H24" s="14">
        <f>G24/E24%</f>
        <v>8.1808396124865457</v>
      </c>
      <c r="I24" s="25">
        <v>16</v>
      </c>
      <c r="J24" s="26">
        <v>2</v>
      </c>
      <c r="K24" s="14">
        <f>J24/E24%</f>
        <v>0.21528525296017226</v>
      </c>
      <c r="L24" s="22">
        <v>0</v>
      </c>
    </row>
    <row r="25" spans="2:12" ht="13.75" customHeight="1">
      <c r="B25" s="34"/>
      <c r="C25" s="44" t="s">
        <v>28</v>
      </c>
      <c r="D25" s="23">
        <f>D9-SUM(D10:D24)</f>
        <v>15279</v>
      </c>
      <c r="E25" s="24">
        <f>E9-SUM(E10:E24)</f>
        <v>6431</v>
      </c>
      <c r="F25" s="16">
        <f t="shared" si="0"/>
        <v>42.090450945742525</v>
      </c>
      <c r="G25" s="25">
        <f>G9-SUM(G10:G24)</f>
        <v>711</v>
      </c>
      <c r="H25" s="14">
        <f>G25/E25%</f>
        <v>11.055823355621209</v>
      </c>
      <c r="I25" s="23">
        <f>I9-SUM(I10:I24)</f>
        <v>124</v>
      </c>
      <c r="J25" s="26">
        <f>J9-SUM(J10:J24)</f>
        <v>30</v>
      </c>
      <c r="K25" s="14">
        <f>J25/E25%</f>
        <v>0.46649043694604259</v>
      </c>
      <c r="L25" s="26">
        <f>L9-SUM(L10:L24)</f>
        <v>3</v>
      </c>
    </row>
    <row r="26" spans="2:12" ht="13.75" customHeight="1">
      <c r="B26" s="34"/>
      <c r="C26" s="44"/>
      <c r="D26" s="23"/>
      <c r="E26" s="24"/>
      <c r="F26" s="16"/>
      <c r="G26" s="25"/>
      <c r="H26" s="14"/>
      <c r="I26" s="25"/>
      <c r="J26" s="26"/>
      <c r="K26" s="14"/>
      <c r="L26" s="26"/>
    </row>
    <row r="27" spans="2:12" ht="13.75" customHeight="1">
      <c r="B27" s="170" t="s">
        <v>29</v>
      </c>
      <c r="C27" s="171"/>
      <c r="D27" s="23">
        <f>69746-11</f>
        <v>69735</v>
      </c>
      <c r="E27" s="24">
        <v>28906</v>
      </c>
      <c r="F27" s="16">
        <f t="shared" ref="F27:F32" si="3">E27/D27*100</f>
        <v>41.451208145120816</v>
      </c>
      <c r="G27" s="25">
        <v>3518</v>
      </c>
      <c r="H27" s="14">
        <f t="shared" ref="H27:H32" si="4">G27/E27%</f>
        <v>12.170483636615236</v>
      </c>
      <c r="I27" s="25">
        <f>487+66</f>
        <v>553</v>
      </c>
      <c r="J27" s="26">
        <v>230</v>
      </c>
      <c r="K27" s="14">
        <f>J27/E27%</f>
        <v>0.79568255725454917</v>
      </c>
      <c r="L27" s="26">
        <v>33</v>
      </c>
    </row>
    <row r="28" spans="2:12" ht="13.75" customHeight="1">
      <c r="B28" s="34"/>
      <c r="C28" s="44" t="s">
        <v>30</v>
      </c>
      <c r="D28" s="23">
        <v>385</v>
      </c>
      <c r="E28" s="24">
        <v>88</v>
      </c>
      <c r="F28" s="16">
        <f t="shared" si="3"/>
        <v>22.857142857142858</v>
      </c>
      <c r="G28" s="25">
        <v>0</v>
      </c>
      <c r="H28" s="14"/>
      <c r="I28" s="25">
        <v>0</v>
      </c>
      <c r="J28" s="22">
        <v>0</v>
      </c>
      <c r="K28" s="9"/>
      <c r="L28" s="26">
        <v>0</v>
      </c>
    </row>
    <row r="29" spans="2:12" ht="13.75" customHeight="1">
      <c r="B29" s="36"/>
      <c r="C29" s="40" t="s">
        <v>47</v>
      </c>
      <c r="D29" s="23">
        <v>2936</v>
      </c>
      <c r="E29" s="24">
        <v>1368</v>
      </c>
      <c r="F29" s="16">
        <f t="shared" si="3"/>
        <v>46.594005449591279</v>
      </c>
      <c r="G29" s="25">
        <v>125</v>
      </c>
      <c r="H29" s="14">
        <f t="shared" si="4"/>
        <v>9.1374269005847957</v>
      </c>
      <c r="I29" s="25">
        <v>22</v>
      </c>
      <c r="J29" s="26">
        <v>5</v>
      </c>
      <c r="K29" s="14">
        <f>J29/E29%</f>
        <v>0.36549707602339182</v>
      </c>
      <c r="L29" s="22">
        <v>2</v>
      </c>
    </row>
    <row r="30" spans="2:12" ht="13.75" customHeight="1">
      <c r="B30" s="36"/>
      <c r="C30" s="44" t="s">
        <v>35</v>
      </c>
      <c r="D30" s="23">
        <f>16516-1</f>
        <v>16515</v>
      </c>
      <c r="E30" s="24">
        <v>11387</v>
      </c>
      <c r="F30" s="16">
        <f t="shared" si="3"/>
        <v>68.949439903118375</v>
      </c>
      <c r="G30" s="25">
        <v>1959</v>
      </c>
      <c r="H30" s="14">
        <f t="shared" si="4"/>
        <v>17.203828927724597</v>
      </c>
      <c r="I30" s="25">
        <f>266+61</f>
        <v>327</v>
      </c>
      <c r="J30" s="26">
        <v>182</v>
      </c>
      <c r="K30" s="14">
        <f>J30/E30%</f>
        <v>1.5983138666900851</v>
      </c>
      <c r="L30" s="26">
        <v>11</v>
      </c>
    </row>
    <row r="31" spans="2:12" ht="13.75" customHeight="1">
      <c r="B31" s="36"/>
      <c r="C31" s="41" t="s">
        <v>69</v>
      </c>
      <c r="D31" s="23">
        <v>1651</v>
      </c>
      <c r="E31" s="24">
        <v>969</v>
      </c>
      <c r="F31" s="16">
        <f t="shared" si="3"/>
        <v>58.691701998788616</v>
      </c>
      <c r="G31" s="25">
        <v>175</v>
      </c>
      <c r="H31" s="14">
        <f t="shared" si="4"/>
        <v>18.059855521155832</v>
      </c>
      <c r="I31" s="25">
        <f>45+2</f>
        <v>47</v>
      </c>
      <c r="J31" s="26">
        <v>9</v>
      </c>
      <c r="K31" s="14">
        <f>J31/E31%</f>
        <v>0.92879256965944279</v>
      </c>
      <c r="L31" s="26">
        <v>5</v>
      </c>
    </row>
    <row r="32" spans="2:12" ht="13.75" customHeight="1">
      <c r="B32" s="108"/>
      <c r="C32" s="39" t="s">
        <v>28</v>
      </c>
      <c r="D32" s="29">
        <f>D27-SUM(D28:D31)</f>
        <v>48248</v>
      </c>
      <c r="E32" s="30">
        <f>E27-SUM(E28:E31)</f>
        <v>15094</v>
      </c>
      <c r="F32" s="31">
        <f t="shared" si="3"/>
        <v>31.284198308738187</v>
      </c>
      <c r="G32" s="32">
        <f>G27-SUM(G28:G31)</f>
        <v>1259</v>
      </c>
      <c r="H32" s="106">
        <f t="shared" si="4"/>
        <v>8.3410626739101623</v>
      </c>
      <c r="I32" s="29">
        <f>I27-SUM(I28:I31)</f>
        <v>157</v>
      </c>
      <c r="J32" s="32">
        <f>J27-SUM(J28:J31)</f>
        <v>34</v>
      </c>
      <c r="K32" s="106">
        <f>J32/E32%</f>
        <v>0.22525506823903538</v>
      </c>
      <c r="L32" s="32">
        <f>L27-SUM(L28:L31)</f>
        <v>15</v>
      </c>
    </row>
    <row r="33" spans="2:12" ht="14.3">
      <c r="B33" s="59" t="s">
        <v>38</v>
      </c>
      <c r="C33" s="142" t="s">
        <v>70</v>
      </c>
      <c r="D33" s="142"/>
      <c r="E33" s="142"/>
      <c r="F33" s="142"/>
      <c r="G33" s="142"/>
      <c r="H33" s="142"/>
      <c r="I33" s="142"/>
      <c r="J33" s="142"/>
      <c r="K33" s="142"/>
      <c r="L33" s="142"/>
    </row>
    <row r="34" spans="2:12" ht="14.3">
      <c r="B34" s="94" t="s">
        <v>57</v>
      </c>
      <c r="C34" s="141" t="s">
        <v>56</v>
      </c>
      <c r="D34" s="141"/>
      <c r="E34" s="141"/>
      <c r="F34" s="141"/>
      <c r="G34" s="141"/>
      <c r="H34" s="141"/>
      <c r="I34" s="141"/>
      <c r="J34" s="141"/>
      <c r="K34" s="141"/>
      <c r="L34" s="141"/>
    </row>
    <row r="35" spans="2:12" ht="13.75" customHeight="1">
      <c r="B35" s="95" t="s">
        <v>58</v>
      </c>
      <c r="C35" s="143" t="s">
        <v>40</v>
      </c>
      <c r="D35" s="143"/>
      <c r="E35" s="143"/>
      <c r="F35" s="143"/>
      <c r="G35" s="143"/>
      <c r="H35" s="143"/>
      <c r="I35" s="143"/>
      <c r="J35" s="143"/>
      <c r="K35" s="143"/>
      <c r="L35" s="143"/>
    </row>
    <row r="36" spans="2:12" ht="13.75" customHeight="1">
      <c r="B36" s="95" t="s">
        <v>59</v>
      </c>
      <c r="C36" s="143" t="s">
        <v>60</v>
      </c>
      <c r="D36" s="143"/>
      <c r="E36" s="143"/>
      <c r="F36" s="143"/>
      <c r="G36" s="143"/>
      <c r="H36" s="143"/>
      <c r="I36" s="143"/>
      <c r="J36" s="143"/>
      <c r="K36" s="143"/>
      <c r="L36" s="143"/>
    </row>
    <row r="37" spans="2:12" ht="13.75" customHeight="1">
      <c r="B37" s="95" t="s">
        <v>63</v>
      </c>
      <c r="C37" s="143" t="s">
        <v>42</v>
      </c>
      <c r="D37" s="143"/>
      <c r="E37" s="143"/>
      <c r="F37" s="143"/>
      <c r="G37" s="143"/>
      <c r="H37" s="143"/>
      <c r="I37" s="143"/>
      <c r="J37" s="143"/>
      <c r="K37" s="143"/>
      <c r="L37" s="143"/>
    </row>
    <row r="38" spans="2:12" ht="13.75" customHeight="1">
      <c r="B38" s="95" t="s">
        <v>61</v>
      </c>
      <c r="C38" s="143" t="s">
        <v>44</v>
      </c>
      <c r="D38" s="143"/>
      <c r="E38" s="143"/>
      <c r="F38" s="143"/>
      <c r="G38" s="143"/>
      <c r="H38" s="143"/>
      <c r="I38" s="143"/>
      <c r="J38" s="143"/>
      <c r="K38" s="143"/>
      <c r="L38" s="143"/>
    </row>
    <row r="39" spans="2:12" ht="13.75" customHeight="1">
      <c r="B39" s="57" t="s">
        <v>45</v>
      </c>
      <c r="C39" s="143" t="s">
        <v>46</v>
      </c>
      <c r="D39" s="143"/>
      <c r="E39" s="143"/>
      <c r="F39" s="143"/>
      <c r="G39" s="143"/>
      <c r="H39" s="143"/>
      <c r="I39" s="143"/>
      <c r="J39" s="143"/>
      <c r="K39" s="143"/>
      <c r="L39" s="143"/>
    </row>
    <row r="40" spans="2:12" s="1" customFormat="1" ht="13.75" customHeight="1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2:12" s="1" customFormat="1" ht="13.75" customHeight="1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2:12" s="1" customFormat="1" ht="13.75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2:12" s="1" customFormat="1" ht="13.75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2:12" s="1" customFormat="1" ht="13.75" customHeight="1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2:12" s="1" customFormat="1" ht="13.75" customHeight="1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2:12" s="1" customFormat="1" ht="13.75" customHeight="1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2:12" s="1" customFormat="1" ht="13.75" customHeight="1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2:12" s="1" customFormat="1" ht="13.75" customHeight="1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2:12" s="1" customFormat="1" ht="13.75" customHeight="1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2:12" s="1" customFormat="1" ht="13.75" customHeight="1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2:12" s="1" customFormat="1" ht="13.75" customHeight="1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2:12" s="1" customFormat="1" ht="13.75" customHeight="1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2:12" s="1" customFormat="1" ht="13.75" customHeight="1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2:12" s="1" customFormat="1" ht="13.75" customHeight="1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2:12" s="1" customFormat="1" ht="13.75" customHeight="1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2:12" s="1" customFormat="1" ht="13.75" customHeight="1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2:12" s="1" customFormat="1" ht="13.75" customHeight="1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60" spans="2:12" s="1" customFormat="1" ht="13.75" customHeight="1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</sheetData>
  <mergeCells count="19">
    <mergeCell ref="C36:L36"/>
    <mergeCell ref="C37:L37"/>
    <mergeCell ref="C38:L38"/>
    <mergeCell ref="C39:L39"/>
    <mergeCell ref="B27:C27"/>
    <mergeCell ref="B9:C9"/>
    <mergeCell ref="C33:L33"/>
    <mergeCell ref="C34:L34"/>
    <mergeCell ref="C35:L35"/>
    <mergeCell ref="B3:C6"/>
    <mergeCell ref="D3:D6"/>
    <mergeCell ref="E3:E6"/>
    <mergeCell ref="F3:F6"/>
    <mergeCell ref="B7:C7"/>
    <mergeCell ref="G3:L3"/>
    <mergeCell ref="G4:H6"/>
    <mergeCell ref="J4:K6"/>
    <mergeCell ref="L4:L6"/>
    <mergeCell ref="I5:I6"/>
  </mergeCells>
  <phoneticPr fontId="3"/>
  <pageMargins left="0.75" right="0.75" top="1" bottom="1" header="0.51200000000000001" footer="0.51200000000000001"/>
  <pageSetup paperSize="9" scale="66" orientation="portrait" horizontalDpi="200" verticalDpi="200" r:id="rId1"/>
  <headerFooter alignWithMargins="0">
    <oddHeader>&amp;L&amp;D&amp;T&amp;R&amp;A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L198"/>
  <sheetViews>
    <sheetView view="pageBreakPreview" zoomScaleNormal="100" zoomScaleSheetLayoutView="100" workbookViewId="0">
      <selection activeCell="C13" sqref="C12:C13"/>
    </sheetView>
  </sheetViews>
  <sheetFormatPr defaultColWidth="9" defaultRowHeight="13.75" customHeight="1"/>
  <cols>
    <col min="1" max="1" width="3.625" style="58" customWidth="1"/>
    <col min="2" max="2" width="6.375" style="58" bestFit="1" customWidth="1"/>
    <col min="3" max="3" width="42.5" style="58" customWidth="1"/>
    <col min="4" max="4" width="10.375" style="58" customWidth="1"/>
    <col min="5" max="5" width="10.75" style="58" bestFit="1" customWidth="1"/>
    <col min="6" max="6" width="10.125" style="58" customWidth="1"/>
    <col min="7" max="7" width="9" style="58"/>
    <col min="8" max="8" width="7" style="58" customWidth="1"/>
    <col min="9" max="9" width="8.5" style="58" customWidth="1"/>
    <col min="10" max="10" width="7.75" style="58" customWidth="1"/>
    <col min="11" max="11" width="6.75" style="58" customWidth="1"/>
    <col min="12" max="12" width="8.125" style="58" customWidth="1"/>
    <col min="13" max="13" width="6.875" style="58" customWidth="1"/>
    <col min="14" max="16384" width="9" style="58"/>
  </cols>
  <sheetData>
    <row r="1" spans="2:12" ht="13.75" customHeight="1">
      <c r="B1" s="45"/>
      <c r="C1" s="107"/>
      <c r="D1" s="107"/>
      <c r="E1" s="107"/>
      <c r="F1" s="107"/>
      <c r="G1" s="107"/>
      <c r="H1" s="107"/>
      <c r="I1" s="107"/>
    </row>
    <row r="2" spans="2:12" s="1" customFormat="1" ht="14.95" thickBot="1">
      <c r="B2" s="3"/>
      <c r="C2" s="3"/>
      <c r="D2" s="3"/>
      <c r="E2" s="3"/>
      <c r="F2" s="3"/>
      <c r="G2" s="4"/>
      <c r="H2" s="4"/>
      <c r="I2" s="4"/>
      <c r="J2" s="4"/>
      <c r="K2" s="5"/>
      <c r="L2" s="60" t="s">
        <v>72</v>
      </c>
    </row>
    <row r="3" spans="2:12" s="1" customFormat="1" ht="14.95" thickTop="1">
      <c r="B3" s="144" t="s">
        <v>2</v>
      </c>
      <c r="C3" s="145"/>
      <c r="D3" s="150" t="s">
        <v>3</v>
      </c>
      <c r="E3" s="150" t="s">
        <v>4</v>
      </c>
      <c r="F3" s="150" t="s">
        <v>9</v>
      </c>
      <c r="G3" s="153" t="s">
        <v>5</v>
      </c>
      <c r="H3" s="154"/>
      <c r="I3" s="154"/>
      <c r="J3" s="154"/>
      <c r="K3" s="154"/>
      <c r="L3" s="154"/>
    </row>
    <row r="4" spans="2:12" s="1" customFormat="1" ht="14.3">
      <c r="B4" s="146"/>
      <c r="C4" s="147"/>
      <c r="D4" s="151"/>
      <c r="E4" s="151"/>
      <c r="F4" s="151"/>
      <c r="G4" s="155" t="s">
        <v>6</v>
      </c>
      <c r="H4" s="155"/>
      <c r="I4" s="2"/>
      <c r="J4" s="158" t="s">
        <v>7</v>
      </c>
      <c r="K4" s="159"/>
      <c r="L4" s="158" t="s">
        <v>10</v>
      </c>
    </row>
    <row r="5" spans="2:12" s="1" customFormat="1" ht="14.3">
      <c r="B5" s="146"/>
      <c r="C5" s="147"/>
      <c r="D5" s="151"/>
      <c r="E5" s="151"/>
      <c r="F5" s="151"/>
      <c r="G5" s="156"/>
      <c r="H5" s="156"/>
      <c r="I5" s="164" t="s">
        <v>8</v>
      </c>
      <c r="J5" s="160"/>
      <c r="K5" s="161"/>
      <c r="L5" s="160"/>
    </row>
    <row r="6" spans="2:12" s="1" customFormat="1" ht="14.3">
      <c r="B6" s="148"/>
      <c r="C6" s="149"/>
      <c r="D6" s="152"/>
      <c r="E6" s="152"/>
      <c r="F6" s="152"/>
      <c r="G6" s="157"/>
      <c r="H6" s="157"/>
      <c r="I6" s="165"/>
      <c r="J6" s="162"/>
      <c r="K6" s="163"/>
      <c r="L6" s="162"/>
    </row>
    <row r="7" spans="2:12" s="114" customFormat="1" ht="13.75" customHeight="1">
      <c r="B7" s="166" t="s">
        <v>11</v>
      </c>
      <c r="C7" s="167"/>
      <c r="D7" s="109">
        <v>146838</v>
      </c>
      <c r="E7" s="110">
        <v>70692</v>
      </c>
      <c r="F7" s="111">
        <v>48.1</v>
      </c>
      <c r="G7" s="112">
        <v>9928</v>
      </c>
      <c r="H7" s="113">
        <v>14</v>
      </c>
      <c r="I7" s="109">
        <v>2619</v>
      </c>
      <c r="J7" s="112">
        <v>1082</v>
      </c>
      <c r="K7" s="113">
        <v>1.5</v>
      </c>
      <c r="L7" s="110">
        <v>76</v>
      </c>
    </row>
    <row r="8" spans="2:12" s="114" customFormat="1" ht="13.75" customHeight="1">
      <c r="B8" s="51"/>
      <c r="C8" s="52"/>
      <c r="D8" s="117"/>
      <c r="F8" s="118"/>
      <c r="H8" s="117"/>
      <c r="I8" s="116"/>
      <c r="J8" s="119"/>
      <c r="K8" s="117"/>
      <c r="L8" s="120"/>
    </row>
    <row r="9" spans="2:12" s="114" customFormat="1" ht="13.75" customHeight="1">
      <c r="B9" s="168" t="s">
        <v>12</v>
      </c>
      <c r="C9" s="169"/>
      <c r="D9" s="121">
        <v>86846</v>
      </c>
      <c r="E9" s="122">
        <v>43375</v>
      </c>
      <c r="F9" s="118">
        <v>49.9</v>
      </c>
      <c r="G9" s="123">
        <v>6182</v>
      </c>
      <c r="H9" s="117">
        <v>14.3</v>
      </c>
      <c r="I9" s="122">
        <v>1701</v>
      </c>
      <c r="J9" s="123">
        <v>718</v>
      </c>
      <c r="K9" s="117">
        <v>1.7</v>
      </c>
      <c r="L9" s="122">
        <v>41</v>
      </c>
    </row>
    <row r="10" spans="2:12" s="114" customFormat="1" ht="13.75" customHeight="1">
      <c r="B10" s="35"/>
      <c r="C10" s="43" t="s">
        <v>13</v>
      </c>
      <c r="D10" s="121">
        <v>855</v>
      </c>
      <c r="E10" s="122">
        <v>397</v>
      </c>
      <c r="F10" s="118">
        <v>46.4</v>
      </c>
      <c r="G10" s="123">
        <v>24</v>
      </c>
      <c r="H10" s="117">
        <v>6</v>
      </c>
      <c r="I10" s="122">
        <v>3</v>
      </c>
      <c r="J10" s="123">
        <v>5</v>
      </c>
      <c r="K10" s="117">
        <v>1.3</v>
      </c>
      <c r="L10" s="124">
        <v>1</v>
      </c>
    </row>
    <row r="11" spans="2:12" s="114" customFormat="1" ht="13.75" customHeight="1">
      <c r="B11" s="35"/>
      <c r="C11" s="43" t="s">
        <v>14</v>
      </c>
      <c r="D11" s="121">
        <v>2106</v>
      </c>
      <c r="E11" s="122">
        <v>798</v>
      </c>
      <c r="F11" s="118">
        <v>37.9</v>
      </c>
      <c r="G11" s="123">
        <v>106</v>
      </c>
      <c r="H11" s="117">
        <f t="shared" ref="H11:H18" si="0">G11/E11%</f>
        <v>13.283208020050125</v>
      </c>
      <c r="I11" s="122">
        <v>29</v>
      </c>
      <c r="J11" s="123">
        <v>10</v>
      </c>
      <c r="K11" s="117">
        <v>1.3</v>
      </c>
      <c r="L11" s="122">
        <v>1</v>
      </c>
    </row>
    <row r="12" spans="2:12" s="114" customFormat="1" ht="13.75" customHeight="1">
      <c r="B12" s="35"/>
      <c r="C12" s="43" t="s">
        <v>15</v>
      </c>
      <c r="D12" s="121">
        <v>16242</v>
      </c>
      <c r="E12" s="122">
        <v>7327</v>
      </c>
      <c r="F12" s="118">
        <v>45.1</v>
      </c>
      <c r="G12" s="123">
        <v>691</v>
      </c>
      <c r="H12" s="117">
        <f t="shared" si="0"/>
        <v>9.4308721168281711</v>
      </c>
      <c r="I12" s="122">
        <v>186</v>
      </c>
      <c r="J12" s="123">
        <v>38</v>
      </c>
      <c r="K12" s="117">
        <v>0.5</v>
      </c>
      <c r="L12" s="122">
        <v>1</v>
      </c>
    </row>
    <row r="13" spans="2:12" s="114" customFormat="1" ht="13.75" customHeight="1">
      <c r="B13" s="35"/>
      <c r="C13" s="43" t="s">
        <v>16</v>
      </c>
      <c r="D13" s="121">
        <v>3518</v>
      </c>
      <c r="E13" s="122">
        <v>1712</v>
      </c>
      <c r="F13" s="118">
        <v>48.7</v>
      </c>
      <c r="G13" s="123">
        <v>121</v>
      </c>
      <c r="H13" s="117">
        <f t="shared" si="0"/>
        <v>7.0677570093457938</v>
      </c>
      <c r="I13" s="122">
        <v>31</v>
      </c>
      <c r="J13" s="123">
        <v>7</v>
      </c>
      <c r="K13" s="117">
        <v>0.4</v>
      </c>
      <c r="L13" s="122">
        <v>3</v>
      </c>
    </row>
    <row r="14" spans="2:12" s="114" customFormat="1" ht="13.75" customHeight="1">
      <c r="B14" s="35"/>
      <c r="C14" s="43" t="s">
        <v>17</v>
      </c>
      <c r="D14" s="121">
        <v>913</v>
      </c>
      <c r="E14" s="122">
        <v>522</v>
      </c>
      <c r="F14" s="118">
        <v>57.2</v>
      </c>
      <c r="G14" s="123">
        <v>50</v>
      </c>
      <c r="H14" s="117">
        <f t="shared" si="0"/>
        <v>9.5785440613026829</v>
      </c>
      <c r="I14" s="122">
        <v>12</v>
      </c>
      <c r="J14" s="123">
        <v>2</v>
      </c>
      <c r="K14" s="117">
        <v>0.4</v>
      </c>
      <c r="L14" s="122">
        <v>2</v>
      </c>
    </row>
    <row r="15" spans="2:12" s="114" customFormat="1" ht="13.75" customHeight="1">
      <c r="B15" s="35"/>
      <c r="C15" s="43" t="s">
        <v>66</v>
      </c>
      <c r="D15" s="121">
        <v>3615</v>
      </c>
      <c r="E15" s="122">
        <v>1872</v>
      </c>
      <c r="F15" s="118">
        <v>51.8</v>
      </c>
      <c r="G15" s="123">
        <v>230</v>
      </c>
      <c r="H15" s="117">
        <f t="shared" si="0"/>
        <v>12.286324786324787</v>
      </c>
      <c r="I15" s="122">
        <v>71</v>
      </c>
      <c r="J15" s="123">
        <v>18</v>
      </c>
      <c r="K15" s="117">
        <v>1</v>
      </c>
      <c r="L15" s="122">
        <v>6</v>
      </c>
    </row>
    <row r="16" spans="2:12" s="114" customFormat="1" ht="13.75" customHeight="1">
      <c r="B16" s="35"/>
      <c r="C16" s="43" t="s">
        <v>67</v>
      </c>
      <c r="D16" s="121">
        <v>32106</v>
      </c>
      <c r="E16" s="122">
        <v>17731</v>
      </c>
      <c r="F16" s="118">
        <v>55.2</v>
      </c>
      <c r="G16" s="123">
        <v>3489</v>
      </c>
      <c r="H16" s="117">
        <f t="shared" si="0"/>
        <v>19.677401161807005</v>
      </c>
      <c r="I16" s="122">
        <v>980</v>
      </c>
      <c r="J16" s="123">
        <v>480</v>
      </c>
      <c r="K16" s="117">
        <v>2.7</v>
      </c>
      <c r="L16" s="122">
        <v>13</v>
      </c>
    </row>
    <row r="17" spans="2:12" s="114" customFormat="1" ht="13.75" customHeight="1">
      <c r="B17" s="35"/>
      <c r="C17" s="43" t="s">
        <v>68</v>
      </c>
      <c r="D17" s="121">
        <v>8268</v>
      </c>
      <c r="E17" s="122">
        <v>4473</v>
      </c>
      <c r="F17" s="118">
        <v>54.1</v>
      </c>
      <c r="G17" s="123">
        <v>589</v>
      </c>
      <c r="H17" s="117">
        <f t="shared" si="0"/>
        <v>13.167896266487817</v>
      </c>
      <c r="I17" s="122">
        <v>158</v>
      </c>
      <c r="J17" s="123">
        <v>89</v>
      </c>
      <c r="K17" s="117">
        <v>2</v>
      </c>
      <c r="L17" s="122">
        <v>5</v>
      </c>
    </row>
    <row r="18" spans="2:12" s="114" customFormat="1" ht="13.75" customHeight="1">
      <c r="B18" s="35"/>
      <c r="C18" s="43" t="s">
        <v>21</v>
      </c>
      <c r="D18" s="121">
        <v>1290</v>
      </c>
      <c r="E18" s="122">
        <v>508</v>
      </c>
      <c r="F18" s="118">
        <v>39.4</v>
      </c>
      <c r="G18" s="123">
        <v>64</v>
      </c>
      <c r="H18" s="117">
        <f t="shared" si="0"/>
        <v>12.598425196850393</v>
      </c>
      <c r="I18" s="122">
        <v>16</v>
      </c>
      <c r="J18" s="123">
        <v>8</v>
      </c>
      <c r="K18" s="117">
        <v>1.6</v>
      </c>
      <c r="L18" s="124">
        <v>1</v>
      </c>
    </row>
    <row r="19" spans="2:12" s="114" customFormat="1" ht="13.75" customHeight="1">
      <c r="B19" s="35"/>
      <c r="C19" s="43" t="s">
        <v>22</v>
      </c>
      <c r="D19" s="121">
        <v>1112</v>
      </c>
      <c r="E19" s="122">
        <v>432</v>
      </c>
      <c r="F19" s="118">
        <v>38.799999999999997</v>
      </c>
      <c r="G19" s="123">
        <v>60</v>
      </c>
      <c r="H19" s="117">
        <v>13.9</v>
      </c>
      <c r="I19" s="122">
        <v>21</v>
      </c>
      <c r="J19" s="123">
        <v>2</v>
      </c>
      <c r="K19" s="117">
        <v>0.5</v>
      </c>
      <c r="L19" s="124">
        <v>1</v>
      </c>
    </row>
    <row r="20" spans="2:12" s="114" customFormat="1" ht="13.75" customHeight="1">
      <c r="B20" s="35"/>
      <c r="C20" s="43" t="s">
        <v>23</v>
      </c>
      <c r="D20" s="121">
        <v>1289</v>
      </c>
      <c r="E20" s="122">
        <v>487</v>
      </c>
      <c r="F20" s="118">
        <v>37.799999999999997</v>
      </c>
      <c r="G20" s="123">
        <v>66</v>
      </c>
      <c r="H20" s="117">
        <f t="shared" ref="H20:H25" si="1">G20/E20%</f>
        <v>13.552361396303901</v>
      </c>
      <c r="I20" s="122">
        <v>17</v>
      </c>
      <c r="J20" s="123">
        <v>7</v>
      </c>
      <c r="K20" s="117">
        <v>1.4</v>
      </c>
      <c r="L20" s="122">
        <v>1</v>
      </c>
    </row>
    <row r="21" spans="2:12" s="114" customFormat="1" ht="13.75" customHeight="1">
      <c r="B21" s="35"/>
      <c r="C21" s="43" t="s">
        <v>24</v>
      </c>
      <c r="D21" s="121">
        <v>586</v>
      </c>
      <c r="E21" s="122">
        <v>256</v>
      </c>
      <c r="F21" s="118">
        <v>43.7</v>
      </c>
      <c r="G21" s="123">
        <v>24</v>
      </c>
      <c r="H21" s="117">
        <f t="shared" si="1"/>
        <v>9.375</v>
      </c>
      <c r="I21" s="122">
        <v>9</v>
      </c>
      <c r="J21" s="123">
        <v>1</v>
      </c>
      <c r="K21" s="117">
        <v>0.4</v>
      </c>
      <c r="L21" s="124">
        <v>0</v>
      </c>
    </row>
    <row r="22" spans="2:12" s="114" customFormat="1" ht="13.75" customHeight="1">
      <c r="B22" s="35"/>
      <c r="C22" s="43" t="s">
        <v>25</v>
      </c>
      <c r="D22" s="121">
        <v>230</v>
      </c>
      <c r="E22" s="122">
        <v>62</v>
      </c>
      <c r="F22" s="118">
        <v>27</v>
      </c>
      <c r="G22" s="125">
        <v>2</v>
      </c>
      <c r="H22" s="117">
        <f t="shared" si="1"/>
        <v>3.2258064516129035</v>
      </c>
      <c r="I22" s="125">
        <v>1</v>
      </c>
      <c r="J22" s="125">
        <v>0</v>
      </c>
      <c r="K22" s="124"/>
      <c r="L22" s="125">
        <v>0</v>
      </c>
    </row>
    <row r="23" spans="2:12" s="114" customFormat="1" ht="13.75" customHeight="1">
      <c r="B23" s="35"/>
      <c r="C23" s="43" t="s">
        <v>26</v>
      </c>
      <c r="D23" s="121">
        <v>2821</v>
      </c>
      <c r="E23" s="122">
        <v>1403</v>
      </c>
      <c r="F23" s="118">
        <v>49.7</v>
      </c>
      <c r="G23" s="123">
        <v>217</v>
      </c>
      <c r="H23" s="117">
        <f t="shared" si="1"/>
        <v>15.466856735566644</v>
      </c>
      <c r="I23" s="122">
        <v>63</v>
      </c>
      <c r="J23" s="123">
        <v>22</v>
      </c>
      <c r="K23" s="117">
        <v>1.6</v>
      </c>
      <c r="L23" s="125">
        <v>0</v>
      </c>
    </row>
    <row r="24" spans="2:12" s="114" customFormat="1" ht="13.75" customHeight="1">
      <c r="B24" s="35"/>
      <c r="C24" s="43" t="s">
        <v>27</v>
      </c>
      <c r="D24" s="121">
        <v>1441</v>
      </c>
      <c r="E24" s="122">
        <v>859</v>
      </c>
      <c r="F24" s="118">
        <v>59.6</v>
      </c>
      <c r="G24" s="123">
        <v>62</v>
      </c>
      <c r="H24" s="117">
        <f t="shared" si="1"/>
        <v>7.2176949941792783</v>
      </c>
      <c r="I24" s="122">
        <v>21</v>
      </c>
      <c r="J24" s="123">
        <v>2</v>
      </c>
      <c r="K24" s="117">
        <v>0.2</v>
      </c>
      <c r="L24" s="125">
        <v>0</v>
      </c>
    </row>
    <row r="25" spans="2:12" s="114" customFormat="1" ht="13.75" customHeight="1">
      <c r="B25" s="34"/>
      <c r="C25" s="44" t="s">
        <v>28</v>
      </c>
      <c r="D25" s="121">
        <v>10454</v>
      </c>
      <c r="E25" s="123">
        <v>4536</v>
      </c>
      <c r="F25" s="118">
        <v>43.4</v>
      </c>
      <c r="G25" s="123">
        <v>387</v>
      </c>
      <c r="H25" s="117">
        <f t="shared" si="1"/>
        <v>8.5317460317460316</v>
      </c>
      <c r="I25" s="123">
        <v>83</v>
      </c>
      <c r="J25" s="123">
        <v>27</v>
      </c>
      <c r="K25" s="117">
        <v>0.6</v>
      </c>
      <c r="L25" s="122">
        <v>6</v>
      </c>
    </row>
    <row r="26" spans="2:12" s="114" customFormat="1" ht="13.75" customHeight="1">
      <c r="B26" s="34"/>
      <c r="C26" s="44"/>
      <c r="D26" s="121"/>
      <c r="E26" s="122"/>
      <c r="F26" s="118"/>
      <c r="G26" s="123"/>
      <c r="H26" s="117"/>
      <c r="I26" s="122"/>
      <c r="J26" s="123"/>
      <c r="K26" s="117"/>
      <c r="L26" s="122"/>
    </row>
    <row r="27" spans="2:12" s="114" customFormat="1" ht="13.75" customHeight="1">
      <c r="B27" s="170" t="s">
        <v>29</v>
      </c>
      <c r="C27" s="171"/>
      <c r="D27" s="121">
        <v>59992</v>
      </c>
      <c r="E27" s="122">
        <v>27317</v>
      </c>
      <c r="F27" s="118">
        <v>45.5</v>
      </c>
      <c r="G27" s="123">
        <v>3746</v>
      </c>
      <c r="H27" s="117">
        <f>G27/E27%</f>
        <v>13.713072445729765</v>
      </c>
      <c r="I27" s="122">
        <v>918</v>
      </c>
      <c r="J27" s="123">
        <v>364</v>
      </c>
      <c r="K27" s="117">
        <v>1.3</v>
      </c>
      <c r="L27" s="122">
        <v>35</v>
      </c>
    </row>
    <row r="28" spans="2:12" s="114" customFormat="1" ht="13.75" customHeight="1">
      <c r="B28" s="34"/>
      <c r="C28" s="44" t="s">
        <v>30</v>
      </c>
      <c r="D28" s="121">
        <v>921</v>
      </c>
      <c r="E28" s="122">
        <v>182</v>
      </c>
      <c r="F28" s="118">
        <v>19.8</v>
      </c>
      <c r="G28" s="123">
        <v>0</v>
      </c>
      <c r="H28" s="121"/>
      <c r="I28" s="121">
        <v>0</v>
      </c>
      <c r="J28" s="123">
        <v>0</v>
      </c>
      <c r="K28" s="121"/>
      <c r="L28" s="123">
        <v>0</v>
      </c>
    </row>
    <row r="29" spans="2:12" s="114" customFormat="1" ht="13.75" customHeight="1">
      <c r="B29" s="36"/>
      <c r="C29" s="40" t="s">
        <v>47</v>
      </c>
      <c r="D29" s="121">
        <v>2543</v>
      </c>
      <c r="E29" s="122">
        <v>1374</v>
      </c>
      <c r="F29" s="118">
        <v>54</v>
      </c>
      <c r="G29" s="123">
        <v>101</v>
      </c>
      <c r="H29" s="117">
        <f>G29/E29%</f>
        <v>7.3508005822416305</v>
      </c>
      <c r="I29" s="122">
        <v>32</v>
      </c>
      <c r="J29" s="123">
        <v>7</v>
      </c>
      <c r="K29" s="117">
        <v>0.5</v>
      </c>
      <c r="L29" s="124">
        <v>1</v>
      </c>
    </row>
    <row r="30" spans="2:12" s="114" customFormat="1" ht="13.75" customHeight="1">
      <c r="B30" s="36"/>
      <c r="C30" s="44" t="s">
        <v>35</v>
      </c>
      <c r="D30" s="121">
        <v>24035</v>
      </c>
      <c r="E30" s="122">
        <v>15106</v>
      </c>
      <c r="F30" s="118">
        <v>62.9</v>
      </c>
      <c r="G30" s="123">
        <v>2869</v>
      </c>
      <c r="H30" s="117">
        <f>G30/E30%</f>
        <v>18.992453329802728</v>
      </c>
      <c r="I30" s="122">
        <v>742</v>
      </c>
      <c r="J30" s="123">
        <v>325</v>
      </c>
      <c r="K30" s="117">
        <v>2.2000000000000002</v>
      </c>
      <c r="L30" s="122">
        <v>27</v>
      </c>
    </row>
    <row r="31" spans="2:12" s="114" customFormat="1" ht="13.75" customHeight="1">
      <c r="B31" s="36"/>
      <c r="C31" s="41" t="s">
        <v>69</v>
      </c>
      <c r="D31" s="121">
        <v>2277</v>
      </c>
      <c r="E31" s="122">
        <v>1239</v>
      </c>
      <c r="F31" s="118">
        <v>54.4</v>
      </c>
      <c r="G31" s="123">
        <v>188</v>
      </c>
      <c r="H31" s="117">
        <f>G31/E31%</f>
        <v>15.173527037933816</v>
      </c>
      <c r="I31" s="122">
        <v>59</v>
      </c>
      <c r="J31" s="123">
        <v>12</v>
      </c>
      <c r="K31" s="117">
        <v>1</v>
      </c>
      <c r="L31" s="122">
        <v>2</v>
      </c>
    </row>
    <row r="32" spans="2:12" s="114" customFormat="1" ht="13.75" customHeight="1">
      <c r="B32" s="108"/>
      <c r="C32" s="39" t="s">
        <v>28</v>
      </c>
      <c r="D32" s="126">
        <v>30216</v>
      </c>
      <c r="E32" s="127">
        <v>9416</v>
      </c>
      <c r="F32" s="128">
        <v>31.2</v>
      </c>
      <c r="G32" s="127">
        <v>588</v>
      </c>
      <c r="H32" s="129">
        <f>G32/E32%</f>
        <v>6.2446898895497025</v>
      </c>
      <c r="I32" s="127">
        <v>85</v>
      </c>
      <c r="J32" s="127">
        <v>20</v>
      </c>
      <c r="K32" s="129">
        <v>0.2</v>
      </c>
      <c r="L32" s="130">
        <v>5</v>
      </c>
    </row>
    <row r="33" spans="2:12" s="1" customFormat="1" ht="14.95" thickBot="1">
      <c r="B33" s="3"/>
      <c r="C33" s="3"/>
      <c r="D33" s="3"/>
      <c r="E33" s="3"/>
      <c r="F33" s="3"/>
      <c r="G33" s="4"/>
      <c r="H33" s="4"/>
      <c r="I33" s="4"/>
      <c r="J33" s="4"/>
      <c r="K33" s="5"/>
      <c r="L33" s="60" t="s">
        <v>73</v>
      </c>
    </row>
    <row r="34" spans="2:12" s="1" customFormat="1" ht="14.95" thickTop="1">
      <c r="B34" s="144" t="s">
        <v>2</v>
      </c>
      <c r="C34" s="145"/>
      <c r="D34" s="150" t="s">
        <v>3</v>
      </c>
      <c r="E34" s="150" t="s">
        <v>4</v>
      </c>
      <c r="F34" s="150" t="s">
        <v>9</v>
      </c>
      <c r="G34" s="153" t="s">
        <v>5</v>
      </c>
      <c r="H34" s="154"/>
      <c r="I34" s="154"/>
      <c r="J34" s="154"/>
      <c r="K34" s="154"/>
      <c r="L34" s="154"/>
    </row>
    <row r="35" spans="2:12" s="1" customFormat="1" ht="14.3">
      <c r="B35" s="146"/>
      <c r="C35" s="147"/>
      <c r="D35" s="151"/>
      <c r="E35" s="151"/>
      <c r="F35" s="151"/>
      <c r="G35" s="155" t="s">
        <v>6</v>
      </c>
      <c r="H35" s="155"/>
      <c r="I35" s="2"/>
      <c r="J35" s="158" t="s">
        <v>7</v>
      </c>
      <c r="K35" s="159"/>
      <c r="L35" s="158" t="s">
        <v>10</v>
      </c>
    </row>
    <row r="36" spans="2:12" s="1" customFormat="1" ht="14.3">
      <c r="B36" s="146"/>
      <c r="C36" s="147"/>
      <c r="D36" s="151"/>
      <c r="E36" s="151"/>
      <c r="F36" s="151"/>
      <c r="G36" s="156"/>
      <c r="H36" s="156"/>
      <c r="I36" s="164" t="s">
        <v>8</v>
      </c>
      <c r="J36" s="160"/>
      <c r="K36" s="161"/>
      <c r="L36" s="160"/>
    </row>
    <row r="37" spans="2:12" s="1" customFormat="1" ht="14.3">
      <c r="B37" s="148"/>
      <c r="C37" s="149"/>
      <c r="D37" s="152"/>
      <c r="E37" s="152"/>
      <c r="F37" s="152"/>
      <c r="G37" s="157"/>
      <c r="H37" s="157"/>
      <c r="I37" s="165"/>
      <c r="J37" s="162"/>
      <c r="K37" s="163"/>
      <c r="L37" s="162"/>
    </row>
    <row r="38" spans="2:12" s="114" customFormat="1" ht="13.75" customHeight="1">
      <c r="B38" s="166" t="s">
        <v>11</v>
      </c>
      <c r="C38" s="167"/>
      <c r="D38" s="109">
        <f>155418-65</f>
        <v>155353</v>
      </c>
      <c r="E38" s="110">
        <v>73668</v>
      </c>
      <c r="F38" s="111">
        <v>47.399915067752765</v>
      </c>
      <c r="G38" s="112">
        <v>10935</v>
      </c>
      <c r="H38" s="131">
        <f>G38/E38%</f>
        <v>14.843622739859914</v>
      </c>
      <c r="I38" s="132">
        <v>2802</v>
      </c>
      <c r="J38" s="110">
        <v>1091</v>
      </c>
      <c r="K38" s="117">
        <f>J38/E38%</f>
        <v>1.4809686702503122</v>
      </c>
      <c r="L38" s="110">
        <v>73</v>
      </c>
    </row>
    <row r="39" spans="2:12" s="114" customFormat="1" ht="13.75" customHeight="1">
      <c r="B39" s="51"/>
      <c r="C39" s="52"/>
      <c r="D39" s="117"/>
      <c r="F39" s="118"/>
      <c r="H39" s="133"/>
      <c r="I39" s="134"/>
      <c r="J39" s="120"/>
      <c r="K39" s="117"/>
      <c r="L39" s="120"/>
    </row>
    <row r="40" spans="2:12" s="114" customFormat="1" ht="13.75" customHeight="1">
      <c r="B40" s="168" t="s">
        <v>12</v>
      </c>
      <c r="C40" s="169"/>
      <c r="D40" s="121">
        <f>93286-38</f>
        <v>93248</v>
      </c>
      <c r="E40" s="122">
        <v>46449</v>
      </c>
      <c r="F40" s="118">
        <f t="shared" ref="F40:F56" si="2">E40/D40%</f>
        <v>49.812328414550443</v>
      </c>
      <c r="G40" s="123">
        <v>6986</v>
      </c>
      <c r="H40" s="117">
        <f t="shared" ref="H40:H56" si="3">G40/E40%</f>
        <v>15.040151564081034</v>
      </c>
      <c r="I40" s="122">
        <v>1893</v>
      </c>
      <c r="J40" s="123">
        <v>716</v>
      </c>
      <c r="K40" s="117">
        <f t="shared" ref="K40:K52" si="4">J40/E40%</f>
        <v>1.5414755968912139</v>
      </c>
      <c r="L40" s="122">
        <v>41</v>
      </c>
    </row>
    <row r="41" spans="2:12" s="114" customFormat="1" ht="13.75" customHeight="1">
      <c r="B41" s="35"/>
      <c r="C41" s="43" t="s">
        <v>13</v>
      </c>
      <c r="D41" s="121">
        <f>840+1+31</f>
        <v>872</v>
      </c>
      <c r="E41" s="122">
        <v>372</v>
      </c>
      <c r="F41" s="118">
        <f t="shared" si="2"/>
        <v>42.660550458715591</v>
      </c>
      <c r="G41" s="123">
        <v>30</v>
      </c>
      <c r="H41" s="117">
        <f t="shared" si="3"/>
        <v>8.064516129032258</v>
      </c>
      <c r="I41" s="122">
        <v>7</v>
      </c>
      <c r="J41" s="123">
        <v>5</v>
      </c>
      <c r="K41" s="117">
        <f t="shared" si="4"/>
        <v>1.3440860215053763</v>
      </c>
      <c r="L41" s="124">
        <v>0</v>
      </c>
    </row>
    <row r="42" spans="2:12" s="114" customFormat="1" ht="13.75" customHeight="1">
      <c r="B42" s="35"/>
      <c r="C42" s="43" t="s">
        <v>14</v>
      </c>
      <c r="D42" s="121">
        <v>2208</v>
      </c>
      <c r="E42" s="122">
        <v>923</v>
      </c>
      <c r="F42" s="118">
        <f t="shared" si="2"/>
        <v>41.802536231884062</v>
      </c>
      <c r="G42" s="123">
        <v>132</v>
      </c>
      <c r="H42" s="117">
        <f t="shared" si="3"/>
        <v>14.301191765980498</v>
      </c>
      <c r="I42" s="122">
        <v>38</v>
      </c>
      <c r="J42" s="123">
        <v>14</v>
      </c>
      <c r="K42" s="117">
        <f t="shared" si="4"/>
        <v>1.5167930660888407</v>
      </c>
      <c r="L42" s="122">
        <v>1</v>
      </c>
    </row>
    <row r="43" spans="2:12" s="114" customFormat="1" ht="13.75" customHeight="1">
      <c r="B43" s="35"/>
      <c r="C43" s="43" t="s">
        <v>15</v>
      </c>
      <c r="D43" s="121">
        <f>16989-3</f>
        <v>16986</v>
      </c>
      <c r="E43" s="122">
        <v>7676</v>
      </c>
      <c r="F43" s="118">
        <f t="shared" si="2"/>
        <v>45.190156599552566</v>
      </c>
      <c r="G43" s="123">
        <v>816</v>
      </c>
      <c r="H43" s="117">
        <f t="shared" si="3"/>
        <v>10.630536737884315</v>
      </c>
      <c r="I43" s="122">
        <v>189</v>
      </c>
      <c r="J43" s="123">
        <v>34</v>
      </c>
      <c r="K43" s="117">
        <f t="shared" si="4"/>
        <v>0.44293903074517976</v>
      </c>
      <c r="L43" s="122">
        <v>11</v>
      </c>
    </row>
    <row r="44" spans="2:12" s="114" customFormat="1" ht="13.75" customHeight="1">
      <c r="B44" s="35"/>
      <c r="C44" s="43" t="s">
        <v>16</v>
      </c>
      <c r="D44" s="121">
        <v>3921</v>
      </c>
      <c r="E44" s="122">
        <v>1893</v>
      </c>
      <c r="F44" s="118">
        <f t="shared" si="2"/>
        <v>48.278500382555471</v>
      </c>
      <c r="G44" s="123">
        <v>150</v>
      </c>
      <c r="H44" s="117">
        <f t="shared" si="3"/>
        <v>7.9239302694136295</v>
      </c>
      <c r="I44" s="122">
        <v>35</v>
      </c>
      <c r="J44" s="123">
        <v>12</v>
      </c>
      <c r="K44" s="117">
        <f t="shared" si="4"/>
        <v>0.6339144215530903</v>
      </c>
      <c r="L44" s="122">
        <v>1</v>
      </c>
    </row>
    <row r="45" spans="2:12" s="114" customFormat="1" ht="13.75" customHeight="1">
      <c r="B45" s="35"/>
      <c r="C45" s="43" t="s">
        <v>17</v>
      </c>
      <c r="D45" s="121">
        <v>903</v>
      </c>
      <c r="E45" s="122">
        <v>486</v>
      </c>
      <c r="F45" s="118">
        <f t="shared" si="2"/>
        <v>53.820598006644524</v>
      </c>
      <c r="G45" s="123">
        <v>60</v>
      </c>
      <c r="H45" s="117">
        <f t="shared" si="3"/>
        <v>12.345679012345679</v>
      </c>
      <c r="I45" s="122">
        <v>17</v>
      </c>
      <c r="J45" s="123">
        <v>4</v>
      </c>
      <c r="K45" s="117">
        <f t="shared" si="4"/>
        <v>0.82304526748971185</v>
      </c>
      <c r="L45" s="122">
        <v>0</v>
      </c>
    </row>
    <row r="46" spans="2:12" s="114" customFormat="1" ht="13.75" customHeight="1">
      <c r="B46" s="35"/>
      <c r="C46" s="43" t="s">
        <v>66</v>
      </c>
      <c r="D46" s="121">
        <v>3540</v>
      </c>
      <c r="E46" s="122">
        <v>1858</v>
      </c>
      <c r="F46" s="118">
        <f t="shared" si="2"/>
        <v>52.485875706214692</v>
      </c>
      <c r="G46" s="123">
        <v>296</v>
      </c>
      <c r="H46" s="117">
        <f t="shared" si="3"/>
        <v>15.931108719052746</v>
      </c>
      <c r="I46" s="122">
        <v>91</v>
      </c>
      <c r="J46" s="123">
        <v>12</v>
      </c>
      <c r="K46" s="117">
        <f t="shared" si="4"/>
        <v>0.64585575888051672</v>
      </c>
      <c r="L46" s="122">
        <v>3</v>
      </c>
    </row>
    <row r="47" spans="2:12" s="114" customFormat="1" ht="13.75" customHeight="1">
      <c r="B47" s="35"/>
      <c r="C47" s="43" t="s">
        <v>67</v>
      </c>
      <c r="D47" s="121">
        <f>35235-17</f>
        <v>35218</v>
      </c>
      <c r="E47" s="122">
        <v>19171</v>
      </c>
      <c r="F47" s="118">
        <f t="shared" si="2"/>
        <v>54.435231983644726</v>
      </c>
      <c r="G47" s="123">
        <v>3825</v>
      </c>
      <c r="H47" s="117">
        <f t="shared" si="3"/>
        <v>19.952010849720931</v>
      </c>
      <c r="I47" s="122">
        <v>1122</v>
      </c>
      <c r="J47" s="123">
        <v>463</v>
      </c>
      <c r="K47" s="117">
        <f t="shared" si="4"/>
        <v>2.4151061499139326</v>
      </c>
      <c r="L47" s="122">
        <v>11</v>
      </c>
    </row>
    <row r="48" spans="2:12" s="114" customFormat="1" ht="13.75" customHeight="1">
      <c r="B48" s="35"/>
      <c r="C48" s="43" t="s">
        <v>68</v>
      </c>
      <c r="D48" s="121">
        <f>9027-5</f>
        <v>9022</v>
      </c>
      <c r="E48" s="122">
        <v>4935</v>
      </c>
      <c r="F48" s="118">
        <f t="shared" si="2"/>
        <v>54.699623143427182</v>
      </c>
      <c r="G48" s="123">
        <v>678</v>
      </c>
      <c r="H48" s="117">
        <f t="shared" si="3"/>
        <v>13.738601823708207</v>
      </c>
      <c r="I48" s="122">
        <v>167</v>
      </c>
      <c r="J48" s="123">
        <v>85</v>
      </c>
      <c r="K48" s="117">
        <f t="shared" si="4"/>
        <v>1.7223910840932117</v>
      </c>
      <c r="L48" s="122">
        <v>7</v>
      </c>
    </row>
    <row r="49" spans="2:12" s="114" customFormat="1" ht="13.75" customHeight="1">
      <c r="B49" s="35"/>
      <c r="C49" s="43" t="s">
        <v>21</v>
      </c>
      <c r="D49" s="121">
        <f>1491-1</f>
        <v>1490</v>
      </c>
      <c r="E49" s="122">
        <v>589</v>
      </c>
      <c r="F49" s="118">
        <f t="shared" si="2"/>
        <v>39.530201342281877</v>
      </c>
      <c r="G49" s="123">
        <v>74</v>
      </c>
      <c r="H49" s="117">
        <f t="shared" si="3"/>
        <v>12.563667232597624</v>
      </c>
      <c r="I49" s="122">
        <v>15</v>
      </c>
      <c r="J49" s="123">
        <v>5</v>
      </c>
      <c r="K49" s="117">
        <f t="shared" si="4"/>
        <v>0.84889643463497455</v>
      </c>
      <c r="L49" s="124">
        <v>0</v>
      </c>
    </row>
    <row r="50" spans="2:12" s="114" customFormat="1" ht="13.75" customHeight="1">
      <c r="B50" s="35"/>
      <c r="C50" s="43" t="s">
        <v>22</v>
      </c>
      <c r="D50" s="121">
        <f>956-2</f>
        <v>954</v>
      </c>
      <c r="E50" s="122">
        <v>359</v>
      </c>
      <c r="F50" s="118">
        <f t="shared" si="2"/>
        <v>37.631027253668769</v>
      </c>
      <c r="G50" s="123">
        <v>38</v>
      </c>
      <c r="H50" s="117">
        <f t="shared" si="3"/>
        <v>10.584958217270195</v>
      </c>
      <c r="I50" s="122">
        <v>11</v>
      </c>
      <c r="J50" s="123">
        <v>3</v>
      </c>
      <c r="K50" s="117">
        <f t="shared" si="4"/>
        <v>0.83565459610027859</v>
      </c>
      <c r="L50" s="124">
        <v>0</v>
      </c>
    </row>
    <row r="51" spans="2:12" s="114" customFormat="1" ht="13.75" customHeight="1">
      <c r="B51" s="35"/>
      <c r="C51" s="43" t="s">
        <v>23</v>
      </c>
      <c r="D51" s="121">
        <f>1364-2</f>
        <v>1362</v>
      </c>
      <c r="E51" s="122">
        <v>482</v>
      </c>
      <c r="F51" s="118">
        <f t="shared" si="2"/>
        <v>35.389133627019092</v>
      </c>
      <c r="G51" s="123">
        <v>60</v>
      </c>
      <c r="H51" s="117">
        <f t="shared" si="3"/>
        <v>12.448132780082986</v>
      </c>
      <c r="I51" s="122">
        <v>16</v>
      </c>
      <c r="J51" s="123">
        <v>4</v>
      </c>
      <c r="K51" s="117">
        <f t="shared" si="4"/>
        <v>0.82987551867219911</v>
      </c>
      <c r="L51" s="122">
        <v>0</v>
      </c>
    </row>
    <row r="52" spans="2:12" s="114" customFormat="1" ht="13.75" customHeight="1">
      <c r="B52" s="35"/>
      <c r="C52" s="43" t="s">
        <v>24</v>
      </c>
      <c r="D52" s="121">
        <v>628</v>
      </c>
      <c r="E52" s="122">
        <v>275</v>
      </c>
      <c r="F52" s="118">
        <f t="shared" si="2"/>
        <v>43.789808917197448</v>
      </c>
      <c r="G52" s="123">
        <v>16</v>
      </c>
      <c r="H52" s="117">
        <f t="shared" si="3"/>
        <v>5.8181818181818183</v>
      </c>
      <c r="I52" s="122">
        <v>10</v>
      </c>
      <c r="J52" s="123">
        <v>2</v>
      </c>
      <c r="K52" s="117">
        <f t="shared" si="4"/>
        <v>0.72727272727272729</v>
      </c>
      <c r="L52" s="124">
        <v>0</v>
      </c>
    </row>
    <row r="53" spans="2:12" s="114" customFormat="1" ht="13.75" customHeight="1">
      <c r="B53" s="35"/>
      <c r="C53" s="43" t="s">
        <v>25</v>
      </c>
      <c r="D53" s="121">
        <f>144+176</f>
        <v>320</v>
      </c>
      <c r="E53" s="122">
        <v>84</v>
      </c>
      <c r="F53" s="118">
        <f t="shared" si="2"/>
        <v>26.25</v>
      </c>
      <c r="G53" s="125">
        <v>1</v>
      </c>
      <c r="H53" s="117">
        <f t="shared" si="3"/>
        <v>1.1904761904761905</v>
      </c>
      <c r="I53" s="125">
        <v>0</v>
      </c>
      <c r="J53" s="125">
        <v>0</v>
      </c>
      <c r="K53" s="117"/>
      <c r="L53" s="124">
        <v>0</v>
      </c>
    </row>
    <row r="54" spans="2:12" s="114" customFormat="1" ht="13.75" customHeight="1">
      <c r="B54" s="35"/>
      <c r="C54" s="43" t="s">
        <v>26</v>
      </c>
      <c r="D54" s="121">
        <f>2839-4</f>
        <v>2835</v>
      </c>
      <c r="E54" s="122">
        <v>1425</v>
      </c>
      <c r="F54" s="118">
        <f t="shared" si="2"/>
        <v>50.264550264550259</v>
      </c>
      <c r="G54" s="123">
        <v>217</v>
      </c>
      <c r="H54" s="117">
        <f t="shared" si="3"/>
        <v>15.228070175438596</v>
      </c>
      <c r="I54" s="122">
        <v>51</v>
      </c>
      <c r="J54" s="123">
        <v>35</v>
      </c>
      <c r="K54" s="117">
        <f>J54/E54%</f>
        <v>2.4561403508771931</v>
      </c>
      <c r="L54" s="124">
        <v>2</v>
      </c>
    </row>
    <row r="55" spans="2:12" s="114" customFormat="1" ht="13.75" customHeight="1">
      <c r="B55" s="35"/>
      <c r="C55" s="43" t="s">
        <v>27</v>
      </c>
      <c r="D55" s="121">
        <v>1481</v>
      </c>
      <c r="E55" s="122">
        <v>920</v>
      </c>
      <c r="F55" s="118">
        <f t="shared" si="2"/>
        <v>62.120189061444968</v>
      </c>
      <c r="G55" s="123">
        <v>83</v>
      </c>
      <c r="H55" s="117">
        <f t="shared" si="3"/>
        <v>9.0217391304347831</v>
      </c>
      <c r="I55" s="122">
        <v>25</v>
      </c>
      <c r="J55" s="123">
        <v>4</v>
      </c>
      <c r="K55" s="117">
        <f>J55/E55%</f>
        <v>0.43478260869565222</v>
      </c>
      <c r="L55" s="124">
        <v>0</v>
      </c>
    </row>
    <row r="56" spans="2:12" s="114" customFormat="1" ht="13.75" customHeight="1">
      <c r="B56" s="34"/>
      <c r="C56" s="44" t="s">
        <v>28</v>
      </c>
      <c r="D56" s="121">
        <v>11508</v>
      </c>
      <c r="E56" s="123">
        <v>5001</v>
      </c>
      <c r="F56" s="118">
        <f t="shared" si="2"/>
        <v>43.456725755995826</v>
      </c>
      <c r="G56" s="123">
        <v>510</v>
      </c>
      <c r="H56" s="117">
        <f t="shared" si="3"/>
        <v>10.197960407918417</v>
      </c>
      <c r="I56" s="123">
        <v>99</v>
      </c>
      <c r="J56" s="123">
        <v>34</v>
      </c>
      <c r="K56" s="117">
        <f>J56/E56%</f>
        <v>0.67986402719456107</v>
      </c>
      <c r="L56" s="122">
        <v>5</v>
      </c>
    </row>
    <row r="57" spans="2:12" s="114" customFormat="1" ht="13.75" customHeight="1">
      <c r="B57" s="34"/>
      <c r="C57" s="44"/>
      <c r="D57" s="121"/>
      <c r="E57" s="122"/>
      <c r="F57" s="118"/>
      <c r="G57" s="123"/>
      <c r="H57" s="117"/>
      <c r="I57" s="122"/>
      <c r="J57" s="123"/>
      <c r="K57" s="117"/>
      <c r="L57" s="122"/>
    </row>
    <row r="58" spans="2:12" s="114" customFormat="1" ht="13.75" customHeight="1">
      <c r="B58" s="170" t="s">
        <v>29</v>
      </c>
      <c r="C58" s="171"/>
      <c r="D58" s="121">
        <v>62105</v>
      </c>
      <c r="E58" s="122">
        <v>27219</v>
      </c>
      <c r="F58" s="118">
        <f t="shared" ref="F58:F63" si="5">E58/D58%</f>
        <v>43.827389099106355</v>
      </c>
      <c r="G58" s="123">
        <v>3949</v>
      </c>
      <c r="H58" s="117">
        <f t="shared" ref="H58:H63" si="6">G58/E58%</f>
        <v>14.508247915059334</v>
      </c>
      <c r="I58" s="122">
        <v>909</v>
      </c>
      <c r="J58" s="123">
        <v>375</v>
      </c>
      <c r="K58" s="117">
        <f>J58/E58%</f>
        <v>1.3777140967706383</v>
      </c>
      <c r="L58" s="122">
        <v>32</v>
      </c>
    </row>
    <row r="59" spans="2:12" s="114" customFormat="1" ht="13.75" customHeight="1">
      <c r="B59" s="34"/>
      <c r="C59" s="44" t="s">
        <v>30</v>
      </c>
      <c r="D59" s="121">
        <v>936</v>
      </c>
      <c r="E59" s="122">
        <v>176</v>
      </c>
      <c r="F59" s="118">
        <f t="shared" si="5"/>
        <v>18.803418803418804</v>
      </c>
      <c r="G59" s="123">
        <v>3</v>
      </c>
      <c r="H59" s="117">
        <f t="shared" si="6"/>
        <v>1.7045454545454546</v>
      </c>
      <c r="I59" s="122">
        <v>1</v>
      </c>
      <c r="J59" s="125">
        <v>0</v>
      </c>
      <c r="K59" s="117"/>
      <c r="L59" s="122">
        <v>0</v>
      </c>
    </row>
    <row r="60" spans="2:12" s="114" customFormat="1" ht="13.75" customHeight="1">
      <c r="B60" s="36"/>
      <c r="C60" s="40" t="s">
        <v>47</v>
      </c>
      <c r="D60" s="121">
        <v>2580</v>
      </c>
      <c r="E60" s="122">
        <v>1443</v>
      </c>
      <c r="F60" s="118">
        <f t="shared" si="5"/>
        <v>55.930232558139537</v>
      </c>
      <c r="G60" s="123">
        <v>102</v>
      </c>
      <c r="H60" s="117">
        <f t="shared" si="6"/>
        <v>7.0686070686070686</v>
      </c>
      <c r="I60" s="122">
        <v>22</v>
      </c>
      <c r="J60" s="123">
        <v>15</v>
      </c>
      <c r="K60" s="117">
        <f>J60/E60%</f>
        <v>1.0395010395010396</v>
      </c>
      <c r="L60" s="124">
        <v>0</v>
      </c>
    </row>
    <row r="61" spans="2:12" s="114" customFormat="1" ht="13.75" customHeight="1">
      <c r="B61" s="36"/>
      <c r="C61" s="44" t="s">
        <v>35</v>
      </c>
      <c r="D61" s="121">
        <v>22759</v>
      </c>
      <c r="E61" s="122">
        <v>14544</v>
      </c>
      <c r="F61" s="118">
        <f t="shared" si="5"/>
        <v>63.904389472296671</v>
      </c>
      <c r="G61" s="123">
        <v>2931</v>
      </c>
      <c r="H61" s="117">
        <f t="shared" si="6"/>
        <v>20.152640264026402</v>
      </c>
      <c r="I61" s="122">
        <v>709</v>
      </c>
      <c r="J61" s="123">
        <v>321</v>
      </c>
      <c r="K61" s="117">
        <f>J61/E61%</f>
        <v>2.2070957095709569</v>
      </c>
      <c r="L61" s="122">
        <v>28</v>
      </c>
    </row>
    <row r="62" spans="2:12" s="114" customFormat="1" ht="13.75" customHeight="1">
      <c r="B62" s="36"/>
      <c r="C62" s="41" t="s">
        <v>69</v>
      </c>
      <c r="D62" s="121">
        <v>2183</v>
      </c>
      <c r="E62" s="122">
        <v>1207</v>
      </c>
      <c r="F62" s="118">
        <f t="shared" si="5"/>
        <v>55.290884104443428</v>
      </c>
      <c r="G62" s="123">
        <v>218</v>
      </c>
      <c r="H62" s="117">
        <f t="shared" si="6"/>
        <v>18.061309030654513</v>
      </c>
      <c r="I62" s="122">
        <v>54</v>
      </c>
      <c r="J62" s="123">
        <v>12</v>
      </c>
      <c r="K62" s="117">
        <f>J62/E62%</f>
        <v>0.99420049710024849</v>
      </c>
      <c r="L62" s="122">
        <v>1</v>
      </c>
    </row>
    <row r="63" spans="2:12" s="114" customFormat="1" ht="13.75" customHeight="1">
      <c r="B63" s="108"/>
      <c r="C63" s="39" t="s">
        <v>28</v>
      </c>
      <c r="D63" s="126">
        <v>33647</v>
      </c>
      <c r="E63" s="127">
        <f>E58-SUM(E59:E62)</f>
        <v>9849</v>
      </c>
      <c r="F63" s="128">
        <f t="shared" si="5"/>
        <v>29.27155467055012</v>
      </c>
      <c r="G63" s="127">
        <v>695</v>
      </c>
      <c r="H63" s="129">
        <f t="shared" si="6"/>
        <v>7.0565539648695301</v>
      </c>
      <c r="I63" s="127">
        <v>123</v>
      </c>
      <c r="J63" s="127">
        <v>27</v>
      </c>
      <c r="K63" s="129">
        <f>J63/E63%</f>
        <v>0.27413950654888825</v>
      </c>
      <c r="L63" s="130">
        <v>3</v>
      </c>
    </row>
    <row r="64" spans="2:12" s="114" customFormat="1" ht="13.75" customHeight="1">
      <c r="B64" s="115"/>
      <c r="C64" s="53"/>
      <c r="D64" s="122"/>
      <c r="E64" s="122"/>
      <c r="F64" s="135"/>
      <c r="G64" s="122"/>
      <c r="H64" s="133"/>
      <c r="I64" s="122"/>
      <c r="J64" s="122"/>
      <c r="K64" s="133"/>
      <c r="L64" s="122"/>
    </row>
    <row r="65" spans="2:12" s="1" customFormat="1" ht="14.95" thickBot="1">
      <c r="B65" s="3"/>
      <c r="C65" s="3"/>
      <c r="D65" s="3"/>
      <c r="E65" s="3"/>
      <c r="F65" s="3"/>
      <c r="G65" s="4"/>
      <c r="H65" s="4"/>
      <c r="I65" s="4"/>
      <c r="J65" s="4"/>
      <c r="K65" s="5"/>
      <c r="L65" s="60" t="s">
        <v>74</v>
      </c>
    </row>
    <row r="66" spans="2:12" s="1" customFormat="1" ht="14.95" thickTop="1">
      <c r="B66" s="144" t="s">
        <v>2</v>
      </c>
      <c r="C66" s="145"/>
      <c r="D66" s="150" t="s">
        <v>3</v>
      </c>
      <c r="E66" s="150" t="s">
        <v>4</v>
      </c>
      <c r="F66" s="150" t="s">
        <v>9</v>
      </c>
      <c r="G66" s="153" t="s">
        <v>5</v>
      </c>
      <c r="H66" s="154"/>
      <c r="I66" s="154"/>
      <c r="J66" s="154"/>
      <c r="K66" s="154"/>
      <c r="L66" s="154"/>
    </row>
    <row r="67" spans="2:12" s="1" customFormat="1" ht="14.3">
      <c r="B67" s="146"/>
      <c r="C67" s="147"/>
      <c r="D67" s="151"/>
      <c r="E67" s="151"/>
      <c r="F67" s="151"/>
      <c r="G67" s="155" t="s">
        <v>6</v>
      </c>
      <c r="H67" s="155"/>
      <c r="I67" s="2"/>
      <c r="J67" s="158" t="s">
        <v>7</v>
      </c>
      <c r="K67" s="159"/>
      <c r="L67" s="158" t="s">
        <v>10</v>
      </c>
    </row>
    <row r="68" spans="2:12" s="1" customFormat="1" ht="14.3">
      <c r="B68" s="146"/>
      <c r="C68" s="147"/>
      <c r="D68" s="151"/>
      <c r="E68" s="151"/>
      <c r="F68" s="151"/>
      <c r="G68" s="156"/>
      <c r="H68" s="156"/>
      <c r="I68" s="164" t="s">
        <v>8</v>
      </c>
      <c r="J68" s="160"/>
      <c r="K68" s="161"/>
      <c r="L68" s="160"/>
    </row>
    <row r="69" spans="2:12" s="1" customFormat="1" ht="14.3">
      <c r="B69" s="148"/>
      <c r="C69" s="149"/>
      <c r="D69" s="152"/>
      <c r="E69" s="152"/>
      <c r="F69" s="152"/>
      <c r="G69" s="157"/>
      <c r="H69" s="157"/>
      <c r="I69" s="165"/>
      <c r="J69" s="162"/>
      <c r="K69" s="163"/>
      <c r="L69" s="162"/>
    </row>
    <row r="70" spans="2:12" s="114" customFormat="1" ht="13.75" customHeight="1">
      <c r="B70" s="166" t="s">
        <v>11</v>
      </c>
      <c r="C70" s="167"/>
      <c r="D70" s="96">
        <f>164310-43</f>
        <v>164267</v>
      </c>
      <c r="E70" s="97">
        <v>77471</v>
      </c>
      <c r="F70" s="16">
        <f>E70/D70*100</f>
        <v>47.161633194737831</v>
      </c>
      <c r="G70" s="11">
        <v>11392</v>
      </c>
      <c r="H70" s="98">
        <f>G70/E70%</f>
        <v>14.704857301441828</v>
      </c>
      <c r="I70" s="97">
        <f>2544+185</f>
        <v>2729</v>
      </c>
      <c r="J70" s="11">
        <v>1228</v>
      </c>
      <c r="K70" s="98">
        <f>J70/E70%</f>
        <v>1.5851092666933433</v>
      </c>
      <c r="L70" s="99">
        <v>63</v>
      </c>
    </row>
    <row r="71" spans="2:12" s="114" customFormat="1" ht="13.75" customHeight="1">
      <c r="B71" s="51"/>
      <c r="C71" s="52"/>
      <c r="D71" s="14"/>
      <c r="E71" s="74"/>
      <c r="F71" s="16"/>
      <c r="G71" s="51"/>
      <c r="H71" s="14"/>
      <c r="I71" s="74"/>
      <c r="J71" s="54"/>
      <c r="K71" s="14"/>
      <c r="L71" s="76"/>
    </row>
    <row r="72" spans="2:12" s="114" customFormat="1" ht="13.75" customHeight="1">
      <c r="B72" s="168" t="s">
        <v>12</v>
      </c>
      <c r="C72" s="169"/>
      <c r="D72" s="23">
        <f>100913-14</f>
        <v>100899</v>
      </c>
      <c r="E72" s="24">
        <v>50230</v>
      </c>
      <c r="F72" s="16">
        <f t="shared" ref="F72:F88" si="7">E72/D72*100</f>
        <v>49.782455723049786</v>
      </c>
      <c r="G72" s="25">
        <v>7587</v>
      </c>
      <c r="H72" s="14">
        <f t="shared" ref="H72:H88" si="8">G72/E72%</f>
        <v>15.104519211626517</v>
      </c>
      <c r="I72" s="25">
        <f>1838+93</f>
        <v>1931</v>
      </c>
      <c r="J72" s="26">
        <v>823</v>
      </c>
      <c r="K72" s="14">
        <f t="shared" ref="K72:K84" si="9">J72/E72%</f>
        <v>1.6384630698785585</v>
      </c>
      <c r="L72" s="26">
        <v>39</v>
      </c>
    </row>
    <row r="73" spans="2:12" s="114" customFormat="1" ht="13.75" customHeight="1">
      <c r="B73" s="35"/>
      <c r="C73" s="43" t="s">
        <v>13</v>
      </c>
      <c r="D73" s="23">
        <f>894+38-1</f>
        <v>931</v>
      </c>
      <c r="E73" s="24">
        <f>389+12</f>
        <v>401</v>
      </c>
      <c r="F73" s="16">
        <f t="shared" si="7"/>
        <v>43.071965628356608</v>
      </c>
      <c r="G73" s="25">
        <v>32</v>
      </c>
      <c r="H73" s="14">
        <f t="shared" si="8"/>
        <v>7.9800498753117211</v>
      </c>
      <c r="I73" s="25">
        <v>8</v>
      </c>
      <c r="J73" s="26">
        <v>4</v>
      </c>
      <c r="K73" s="14">
        <f t="shared" si="9"/>
        <v>0.99750623441396513</v>
      </c>
      <c r="L73" s="22">
        <v>1</v>
      </c>
    </row>
    <row r="74" spans="2:12" s="114" customFormat="1" ht="13.75" customHeight="1">
      <c r="B74" s="35"/>
      <c r="C74" s="43" t="s">
        <v>14</v>
      </c>
      <c r="D74" s="23">
        <f>1348+1134+124-3</f>
        <v>2603</v>
      </c>
      <c r="E74" s="24">
        <f>594+436+47</f>
        <v>1077</v>
      </c>
      <c r="F74" s="16">
        <f t="shared" si="7"/>
        <v>41.375336150595466</v>
      </c>
      <c r="G74" s="25">
        <f>82+89</f>
        <v>171</v>
      </c>
      <c r="H74" s="14">
        <f t="shared" si="8"/>
        <v>15.877437325905293</v>
      </c>
      <c r="I74" s="25">
        <f>15+2+26+1</f>
        <v>44</v>
      </c>
      <c r="J74" s="26">
        <f>20+7+1</f>
        <v>28</v>
      </c>
      <c r="K74" s="14">
        <f t="shared" si="9"/>
        <v>2.5998142989786444</v>
      </c>
      <c r="L74" s="26">
        <v>1</v>
      </c>
    </row>
    <row r="75" spans="2:12" s="114" customFormat="1" ht="13.75" customHeight="1">
      <c r="B75" s="35"/>
      <c r="C75" s="43" t="s">
        <v>15</v>
      </c>
      <c r="D75" s="23">
        <v>17130</v>
      </c>
      <c r="E75" s="24">
        <v>7757</v>
      </c>
      <c r="F75" s="16">
        <f t="shared" si="7"/>
        <v>45.283129013426738</v>
      </c>
      <c r="G75" s="25">
        <v>820</v>
      </c>
      <c r="H75" s="14">
        <f t="shared" si="8"/>
        <v>10.571097073610932</v>
      </c>
      <c r="I75" s="25">
        <f>152+3</f>
        <v>155</v>
      </c>
      <c r="J75" s="26">
        <f>33</f>
        <v>33</v>
      </c>
      <c r="K75" s="14">
        <f t="shared" si="9"/>
        <v>0.42542219930385461</v>
      </c>
      <c r="L75" s="26">
        <v>4</v>
      </c>
    </row>
    <row r="76" spans="2:12" s="114" customFormat="1" ht="13.75" customHeight="1">
      <c r="B76" s="35"/>
      <c r="C76" s="43" t="s">
        <v>16</v>
      </c>
      <c r="D76" s="23">
        <v>4133</v>
      </c>
      <c r="E76" s="24">
        <v>1974</v>
      </c>
      <c r="F76" s="16">
        <f t="shared" si="7"/>
        <v>47.761916283571253</v>
      </c>
      <c r="G76" s="25">
        <v>185</v>
      </c>
      <c r="H76" s="14">
        <f t="shared" si="8"/>
        <v>9.3718338399189474</v>
      </c>
      <c r="I76" s="25">
        <f>37+2</f>
        <v>39</v>
      </c>
      <c r="J76" s="26">
        <v>14</v>
      </c>
      <c r="K76" s="14">
        <f t="shared" si="9"/>
        <v>0.70921985815602839</v>
      </c>
      <c r="L76" s="26">
        <v>1</v>
      </c>
    </row>
    <row r="77" spans="2:12" s="114" customFormat="1" ht="13.75" customHeight="1">
      <c r="B77" s="35"/>
      <c r="C77" s="43" t="s">
        <v>17</v>
      </c>
      <c r="D77" s="23">
        <v>850</v>
      </c>
      <c r="E77" s="24">
        <v>470</v>
      </c>
      <c r="F77" s="16">
        <f t="shared" si="7"/>
        <v>55.294117647058826</v>
      </c>
      <c r="G77" s="25">
        <v>46</v>
      </c>
      <c r="H77" s="14">
        <f t="shared" si="8"/>
        <v>9.787234042553191</v>
      </c>
      <c r="I77" s="25">
        <f>8</f>
        <v>8</v>
      </c>
      <c r="J77" s="26">
        <v>5</v>
      </c>
      <c r="K77" s="14">
        <f t="shared" si="9"/>
        <v>1.0638297872340425</v>
      </c>
      <c r="L77" s="26">
        <v>1</v>
      </c>
    </row>
    <row r="78" spans="2:12" s="114" customFormat="1" ht="13.75" customHeight="1">
      <c r="B78" s="35"/>
      <c r="C78" s="43" t="s">
        <v>66</v>
      </c>
      <c r="D78" s="23">
        <v>3360</v>
      </c>
      <c r="E78" s="24">
        <v>1738</v>
      </c>
      <c r="F78" s="16">
        <f t="shared" si="7"/>
        <v>51.726190476190482</v>
      </c>
      <c r="G78" s="25">
        <v>284</v>
      </c>
      <c r="H78" s="14">
        <f t="shared" si="8"/>
        <v>16.340621403912543</v>
      </c>
      <c r="I78" s="25">
        <f>77</f>
        <v>77</v>
      </c>
      <c r="J78" s="26">
        <v>12</v>
      </c>
      <c r="K78" s="14">
        <f t="shared" si="9"/>
        <v>0.69044879171461448</v>
      </c>
      <c r="L78" s="26">
        <v>2</v>
      </c>
    </row>
    <row r="79" spans="2:12" s="114" customFormat="1" ht="13.75" customHeight="1">
      <c r="B79" s="35"/>
      <c r="C79" s="43" t="s">
        <v>67</v>
      </c>
      <c r="D79" s="23">
        <f>39018-4</f>
        <v>39014</v>
      </c>
      <c r="E79" s="24">
        <v>21046</v>
      </c>
      <c r="F79" s="16">
        <f t="shared" si="7"/>
        <v>53.944737786435638</v>
      </c>
      <c r="G79" s="25">
        <v>4224</v>
      </c>
      <c r="H79" s="14">
        <f t="shared" si="8"/>
        <v>20.070322151477715</v>
      </c>
      <c r="I79" s="25">
        <f>1088+70</f>
        <v>1158</v>
      </c>
      <c r="J79" s="26">
        <v>548</v>
      </c>
      <c r="K79" s="14">
        <f t="shared" si="9"/>
        <v>2.6038202033640596</v>
      </c>
      <c r="L79" s="26">
        <v>18</v>
      </c>
    </row>
    <row r="80" spans="2:12" s="114" customFormat="1" ht="13.75" customHeight="1">
      <c r="B80" s="35"/>
      <c r="C80" s="43" t="s">
        <v>68</v>
      </c>
      <c r="D80" s="23">
        <v>9626</v>
      </c>
      <c r="E80" s="24">
        <v>5232</v>
      </c>
      <c r="F80" s="16">
        <f t="shared" si="7"/>
        <v>54.352794514855596</v>
      </c>
      <c r="G80" s="25">
        <v>645</v>
      </c>
      <c r="H80" s="14">
        <f t="shared" si="8"/>
        <v>12.327981651376147</v>
      </c>
      <c r="I80" s="25">
        <f>160+9</f>
        <v>169</v>
      </c>
      <c r="J80" s="26">
        <v>86</v>
      </c>
      <c r="K80" s="14">
        <f t="shared" si="9"/>
        <v>1.643730886850153</v>
      </c>
      <c r="L80" s="26">
        <v>4</v>
      </c>
    </row>
    <row r="81" spans="2:12" s="114" customFormat="1" ht="13.75" customHeight="1">
      <c r="B81" s="35"/>
      <c r="C81" s="43" t="s">
        <v>21</v>
      </c>
      <c r="D81" s="23">
        <v>1849</v>
      </c>
      <c r="E81" s="24">
        <v>741</v>
      </c>
      <c r="F81" s="16">
        <f t="shared" si="7"/>
        <v>40.075716603569496</v>
      </c>
      <c r="G81" s="25">
        <v>139</v>
      </c>
      <c r="H81" s="14">
        <f t="shared" si="8"/>
        <v>18.75843454790823</v>
      </c>
      <c r="I81" s="25">
        <f>32</f>
        <v>32</v>
      </c>
      <c r="J81" s="26">
        <v>13</v>
      </c>
      <c r="K81" s="14">
        <f t="shared" si="9"/>
        <v>1.7543859649122806</v>
      </c>
      <c r="L81" s="22">
        <v>1</v>
      </c>
    </row>
    <row r="82" spans="2:12" s="114" customFormat="1" ht="13.75" customHeight="1">
      <c r="B82" s="35"/>
      <c r="C82" s="43" t="s">
        <v>22</v>
      </c>
      <c r="D82" s="23">
        <v>1097</v>
      </c>
      <c r="E82" s="24">
        <v>432</v>
      </c>
      <c r="F82" s="16">
        <f t="shared" si="7"/>
        <v>39.380127620783952</v>
      </c>
      <c r="G82" s="25">
        <v>59</v>
      </c>
      <c r="H82" s="14">
        <f t="shared" si="8"/>
        <v>13.657407407407407</v>
      </c>
      <c r="I82" s="25">
        <v>16</v>
      </c>
      <c r="J82" s="26">
        <v>4</v>
      </c>
      <c r="K82" s="14">
        <f t="shared" si="9"/>
        <v>0.92592592592592582</v>
      </c>
      <c r="L82" s="22">
        <v>0</v>
      </c>
    </row>
    <row r="83" spans="2:12" s="114" customFormat="1" ht="13.75" customHeight="1">
      <c r="B83" s="35"/>
      <c r="C83" s="43" t="s">
        <v>23</v>
      </c>
      <c r="D83" s="23">
        <f>1402-1</f>
        <v>1401</v>
      </c>
      <c r="E83" s="24">
        <v>542</v>
      </c>
      <c r="F83" s="16">
        <f t="shared" si="7"/>
        <v>38.686652391149181</v>
      </c>
      <c r="G83" s="25">
        <v>75</v>
      </c>
      <c r="H83" s="14">
        <f t="shared" si="8"/>
        <v>13.837638376383763</v>
      </c>
      <c r="I83" s="25">
        <v>18</v>
      </c>
      <c r="J83" s="26">
        <v>6</v>
      </c>
      <c r="K83" s="14">
        <f t="shared" si="9"/>
        <v>1.1070110701107012</v>
      </c>
      <c r="L83" s="26">
        <v>0</v>
      </c>
    </row>
    <row r="84" spans="2:12" s="114" customFormat="1" ht="13.75" customHeight="1">
      <c r="B84" s="35"/>
      <c r="C84" s="43" t="s">
        <v>24</v>
      </c>
      <c r="D84" s="23">
        <v>591</v>
      </c>
      <c r="E84" s="24">
        <v>269</v>
      </c>
      <c r="F84" s="16">
        <f t="shared" si="7"/>
        <v>45.516074450084602</v>
      </c>
      <c r="G84" s="25">
        <v>32</v>
      </c>
      <c r="H84" s="14">
        <f t="shared" si="8"/>
        <v>11.895910780669146</v>
      </c>
      <c r="I84" s="25">
        <v>11</v>
      </c>
      <c r="J84" s="26">
        <v>3</v>
      </c>
      <c r="K84" s="14">
        <f t="shared" si="9"/>
        <v>1.1152416356877324</v>
      </c>
      <c r="L84" s="22">
        <v>0</v>
      </c>
    </row>
    <row r="85" spans="2:12" s="114" customFormat="1" ht="13.75" customHeight="1">
      <c r="B85" s="35"/>
      <c r="C85" s="43" t="s">
        <v>25</v>
      </c>
      <c r="D85" s="23">
        <f>154+189</f>
        <v>343</v>
      </c>
      <c r="E85" s="24">
        <f>33+78</f>
        <v>111</v>
      </c>
      <c r="F85" s="16">
        <f t="shared" si="7"/>
        <v>32.361516034985421</v>
      </c>
      <c r="G85" s="9">
        <v>4</v>
      </c>
      <c r="H85" s="14">
        <f t="shared" si="8"/>
        <v>3.6036036036036032</v>
      </c>
      <c r="I85" s="22">
        <v>0</v>
      </c>
      <c r="J85" s="22">
        <v>0</v>
      </c>
      <c r="K85" s="14"/>
      <c r="L85" s="22">
        <v>0</v>
      </c>
    </row>
    <row r="86" spans="2:12" s="114" customFormat="1" ht="13.75" customHeight="1">
      <c r="B86" s="35"/>
      <c r="C86" s="43" t="s">
        <v>26</v>
      </c>
      <c r="D86" s="23">
        <v>3190</v>
      </c>
      <c r="E86" s="24">
        <v>1517</v>
      </c>
      <c r="F86" s="16">
        <f t="shared" si="7"/>
        <v>47.554858934169282</v>
      </c>
      <c r="G86" s="25">
        <v>236</v>
      </c>
      <c r="H86" s="14">
        <f t="shared" si="8"/>
        <v>15.557020435069216</v>
      </c>
      <c r="I86" s="25">
        <f>62+1</f>
        <v>63</v>
      </c>
      <c r="J86" s="26">
        <v>32</v>
      </c>
      <c r="K86" s="14">
        <f>J86/E86%</f>
        <v>2.109426499670402</v>
      </c>
      <c r="L86" s="22">
        <v>1</v>
      </c>
    </row>
    <row r="87" spans="2:12" s="114" customFormat="1" ht="13.75" customHeight="1">
      <c r="B87" s="35"/>
      <c r="C87" s="43" t="s">
        <v>27</v>
      </c>
      <c r="D87" s="23">
        <v>1629</v>
      </c>
      <c r="E87" s="24">
        <v>1010</v>
      </c>
      <c r="F87" s="16">
        <f t="shared" si="7"/>
        <v>62.001227747084101</v>
      </c>
      <c r="G87" s="25">
        <v>85</v>
      </c>
      <c r="H87" s="14">
        <f t="shared" si="8"/>
        <v>8.4158415841584162</v>
      </c>
      <c r="I87" s="25">
        <f>23</f>
        <v>23</v>
      </c>
      <c r="J87" s="26">
        <v>6</v>
      </c>
      <c r="K87" s="14">
        <f>J87/E87%</f>
        <v>0.59405940594059403</v>
      </c>
      <c r="L87" s="22">
        <v>0</v>
      </c>
    </row>
    <row r="88" spans="2:12" s="114" customFormat="1" ht="13.75" customHeight="1">
      <c r="B88" s="34"/>
      <c r="C88" s="44" t="s">
        <v>28</v>
      </c>
      <c r="D88" s="23">
        <f>D72-SUM(D73:D87)</f>
        <v>13152</v>
      </c>
      <c r="E88" s="24">
        <f>E72-SUM(E73:E87)</f>
        <v>5913</v>
      </c>
      <c r="F88" s="16">
        <f t="shared" si="7"/>
        <v>44.958941605839414</v>
      </c>
      <c r="G88" s="25">
        <f>G72-SUM(G73:G87)</f>
        <v>550</v>
      </c>
      <c r="H88" s="14">
        <f t="shared" si="8"/>
        <v>9.3015389819042777</v>
      </c>
      <c r="I88" s="23">
        <f>I72-SUM(I73:I87)</f>
        <v>110</v>
      </c>
      <c r="J88" s="26">
        <f>J72-SUM(J73:J87)</f>
        <v>29</v>
      </c>
      <c r="K88" s="14">
        <f>J88/E88%</f>
        <v>0.49044478268222558</v>
      </c>
      <c r="L88" s="26">
        <f>L72-SUM(L73:L87)</f>
        <v>5</v>
      </c>
    </row>
    <row r="89" spans="2:12" s="114" customFormat="1" ht="13.75" customHeight="1">
      <c r="B89" s="34"/>
      <c r="C89" s="44"/>
      <c r="D89" s="23"/>
      <c r="E89" s="24"/>
      <c r="F89" s="16"/>
      <c r="G89" s="25"/>
      <c r="H89" s="14"/>
      <c r="I89" s="25"/>
      <c r="J89" s="26"/>
      <c r="K89" s="14"/>
      <c r="L89" s="26"/>
    </row>
    <row r="90" spans="2:12" s="114" customFormat="1" ht="13.75" customHeight="1">
      <c r="B90" s="170" t="s">
        <v>29</v>
      </c>
      <c r="C90" s="171"/>
      <c r="D90" s="23">
        <f>63397-29</f>
        <v>63368</v>
      </c>
      <c r="E90" s="24">
        <v>27241</v>
      </c>
      <c r="F90" s="16">
        <f t="shared" ref="F90:F95" si="10">E90/D90*100</f>
        <v>42.98857467491478</v>
      </c>
      <c r="G90" s="25">
        <v>3805</v>
      </c>
      <c r="H90" s="14">
        <f>G90/E90%</f>
        <v>13.967916008957085</v>
      </c>
      <c r="I90" s="25">
        <f>706+92</f>
        <v>798</v>
      </c>
      <c r="J90" s="26">
        <f>405</f>
        <v>405</v>
      </c>
      <c r="K90" s="14">
        <f>J90/E90%</f>
        <v>1.486729562057193</v>
      </c>
      <c r="L90" s="26">
        <v>24</v>
      </c>
    </row>
    <row r="91" spans="2:12" s="114" customFormat="1" ht="13.75" customHeight="1">
      <c r="B91" s="34"/>
      <c r="C91" s="44" t="s">
        <v>30</v>
      </c>
      <c r="D91" s="23">
        <v>458</v>
      </c>
      <c r="E91" s="24">
        <v>81</v>
      </c>
      <c r="F91" s="16">
        <f t="shared" si="10"/>
        <v>17.685589519650655</v>
      </c>
      <c r="G91" s="25">
        <v>0</v>
      </c>
      <c r="H91" s="14"/>
      <c r="I91" s="25">
        <v>0</v>
      </c>
      <c r="J91" s="22">
        <v>0</v>
      </c>
      <c r="K91" s="14"/>
      <c r="L91" s="26">
        <v>0</v>
      </c>
    </row>
    <row r="92" spans="2:12" s="114" customFormat="1" ht="13.75" customHeight="1">
      <c r="B92" s="36"/>
      <c r="C92" s="40" t="s">
        <v>47</v>
      </c>
      <c r="D92" s="23">
        <v>2759</v>
      </c>
      <c r="E92" s="24">
        <v>1505</v>
      </c>
      <c r="F92" s="16">
        <f t="shared" si="10"/>
        <v>54.548749546937294</v>
      </c>
      <c r="G92" s="25">
        <v>106</v>
      </c>
      <c r="H92" s="14">
        <f>G92/E92%</f>
        <v>7.0431893687707641</v>
      </c>
      <c r="I92" s="25">
        <v>26</v>
      </c>
      <c r="J92" s="26">
        <v>7</v>
      </c>
      <c r="K92" s="14">
        <f>J92/E92%</f>
        <v>0.46511627906976744</v>
      </c>
      <c r="L92" s="22">
        <v>2</v>
      </c>
    </row>
    <row r="93" spans="2:12" s="114" customFormat="1" ht="13.75" customHeight="1">
      <c r="B93" s="36"/>
      <c r="C93" s="44" t="s">
        <v>35</v>
      </c>
      <c r="D93" s="23">
        <v>21296</v>
      </c>
      <c r="E93" s="24">
        <v>13892</v>
      </c>
      <c r="F93" s="16">
        <f t="shared" si="10"/>
        <v>65.232907588279488</v>
      </c>
      <c r="G93" s="25">
        <v>2655</v>
      </c>
      <c r="H93" s="14">
        <f>G93/E93%</f>
        <v>19.111718974949614</v>
      </c>
      <c r="I93" s="25">
        <f>492+84</f>
        <v>576</v>
      </c>
      <c r="J93" s="26">
        <v>347</v>
      </c>
      <c r="K93" s="14">
        <f>J93/E93%</f>
        <v>2.4978404837316441</v>
      </c>
      <c r="L93" s="26">
        <v>13</v>
      </c>
    </row>
    <row r="94" spans="2:12" s="114" customFormat="1" ht="13.75" customHeight="1">
      <c r="B94" s="36"/>
      <c r="C94" s="41" t="s">
        <v>69</v>
      </c>
      <c r="D94" s="23">
        <v>2175</v>
      </c>
      <c r="E94" s="24">
        <v>1256</v>
      </c>
      <c r="F94" s="16">
        <f t="shared" si="10"/>
        <v>57.747126436781606</v>
      </c>
      <c r="G94" s="25">
        <v>205</v>
      </c>
      <c r="H94" s="14">
        <f>G94/E94%</f>
        <v>16.321656050955415</v>
      </c>
      <c r="I94" s="25">
        <f>61+3</f>
        <v>64</v>
      </c>
      <c r="J94" s="26">
        <v>21</v>
      </c>
      <c r="K94" s="14">
        <f>J94/E94%</f>
        <v>1.6719745222929936</v>
      </c>
      <c r="L94" s="26">
        <v>0</v>
      </c>
    </row>
    <row r="95" spans="2:12" s="114" customFormat="1" ht="13.75" customHeight="1">
      <c r="B95" s="108"/>
      <c r="C95" s="39" t="s">
        <v>28</v>
      </c>
      <c r="D95" s="29">
        <f>D90-SUM(D91:D94)</f>
        <v>36680</v>
      </c>
      <c r="E95" s="30">
        <f>E90-SUM(E91:E94)</f>
        <v>10507</v>
      </c>
      <c r="F95" s="31">
        <f t="shared" si="10"/>
        <v>28.645038167938928</v>
      </c>
      <c r="G95" s="136">
        <f>G90-SUM(G91:G94)</f>
        <v>839</v>
      </c>
      <c r="H95" s="106">
        <f>G95/E95%</f>
        <v>7.9851527553059869</v>
      </c>
      <c r="I95" s="29">
        <f>I90-SUM(I91:I94)</f>
        <v>132</v>
      </c>
      <c r="J95" s="32">
        <f>J90-SUM(J91:J94)</f>
        <v>30</v>
      </c>
      <c r="K95" s="106">
        <f>J95/E95%</f>
        <v>0.28552393642333684</v>
      </c>
      <c r="L95" s="32">
        <f>L90-SUM(L91:L94)</f>
        <v>9</v>
      </c>
    </row>
    <row r="96" spans="2:12" s="114" customFormat="1" ht="13.75" customHeight="1">
      <c r="B96" s="115"/>
      <c r="C96" s="53"/>
      <c r="D96" s="122"/>
      <c r="E96" s="122"/>
      <c r="F96" s="135"/>
      <c r="G96" s="122"/>
      <c r="H96" s="133"/>
      <c r="I96" s="122"/>
      <c r="J96" s="122"/>
      <c r="K96" s="133"/>
      <c r="L96" s="122"/>
    </row>
    <row r="97" spans="2:12" s="1" customFormat="1" ht="14.95" thickBot="1">
      <c r="B97" s="3"/>
      <c r="C97" s="3"/>
      <c r="D97" s="3"/>
      <c r="E97" s="3"/>
      <c r="F97" s="3"/>
      <c r="G97" s="4"/>
      <c r="H97" s="4"/>
      <c r="I97" s="4"/>
      <c r="J97" s="4"/>
      <c r="K97" s="5"/>
      <c r="L97" s="60" t="s">
        <v>75</v>
      </c>
    </row>
    <row r="98" spans="2:12" s="1" customFormat="1" ht="14.95" thickTop="1">
      <c r="B98" s="144" t="s">
        <v>2</v>
      </c>
      <c r="C98" s="145"/>
      <c r="D98" s="150" t="s">
        <v>3</v>
      </c>
      <c r="E98" s="150" t="s">
        <v>4</v>
      </c>
      <c r="F98" s="150" t="s">
        <v>9</v>
      </c>
      <c r="G98" s="153" t="s">
        <v>5</v>
      </c>
      <c r="H98" s="154"/>
      <c r="I98" s="154"/>
      <c r="J98" s="154"/>
      <c r="K98" s="154"/>
      <c r="L98" s="154"/>
    </row>
    <row r="99" spans="2:12" s="1" customFormat="1" ht="14.3">
      <c r="B99" s="146"/>
      <c r="C99" s="147"/>
      <c r="D99" s="151"/>
      <c r="E99" s="151"/>
      <c r="F99" s="151"/>
      <c r="G99" s="155" t="s">
        <v>6</v>
      </c>
      <c r="H99" s="155"/>
      <c r="I99" s="2"/>
      <c r="J99" s="158" t="s">
        <v>7</v>
      </c>
      <c r="K99" s="159"/>
      <c r="L99" s="158" t="s">
        <v>10</v>
      </c>
    </row>
    <row r="100" spans="2:12" s="1" customFormat="1" ht="14.3">
      <c r="B100" s="146"/>
      <c r="C100" s="147"/>
      <c r="D100" s="151"/>
      <c r="E100" s="151"/>
      <c r="F100" s="151"/>
      <c r="G100" s="156"/>
      <c r="H100" s="156"/>
      <c r="I100" s="164" t="s">
        <v>8</v>
      </c>
      <c r="J100" s="160"/>
      <c r="K100" s="161"/>
      <c r="L100" s="160"/>
    </row>
    <row r="101" spans="2:12" s="1" customFormat="1" ht="14.3">
      <c r="B101" s="148"/>
      <c r="C101" s="149"/>
      <c r="D101" s="152"/>
      <c r="E101" s="152"/>
      <c r="F101" s="152"/>
      <c r="G101" s="157"/>
      <c r="H101" s="157"/>
      <c r="I101" s="165"/>
      <c r="J101" s="162"/>
      <c r="K101" s="163"/>
      <c r="L101" s="162"/>
    </row>
    <row r="102" spans="2:12" ht="13.75" customHeight="1">
      <c r="B102" s="166" t="s">
        <v>11</v>
      </c>
      <c r="C102" s="167"/>
      <c r="D102" s="96">
        <v>174258</v>
      </c>
      <c r="E102" s="97">
        <v>79478</v>
      </c>
      <c r="F102" s="8">
        <f>E102/D102*100</f>
        <v>45.609383787257975</v>
      </c>
      <c r="G102" s="25">
        <v>12269</v>
      </c>
      <c r="H102" s="14">
        <f>G102/E102%</f>
        <v>15.436976270162813</v>
      </c>
      <c r="I102" s="97">
        <v>2690</v>
      </c>
      <c r="J102" s="11">
        <v>1161</v>
      </c>
      <c r="K102" s="98">
        <f>J102/E102%</f>
        <v>1.4607815999396059</v>
      </c>
      <c r="L102" s="99">
        <v>61</v>
      </c>
    </row>
    <row r="103" spans="2:12" ht="13.75" customHeight="1">
      <c r="B103" s="51"/>
      <c r="C103" s="52"/>
      <c r="D103" s="14"/>
      <c r="E103" s="74"/>
      <c r="F103" s="16"/>
      <c r="G103" s="51"/>
      <c r="H103" s="14"/>
      <c r="I103" s="74"/>
      <c r="J103" s="54"/>
      <c r="K103" s="14"/>
      <c r="L103" s="76"/>
    </row>
    <row r="104" spans="2:12" ht="13.75" customHeight="1">
      <c r="B104" s="168" t="s">
        <v>12</v>
      </c>
      <c r="C104" s="169"/>
      <c r="D104" s="23">
        <v>105358</v>
      </c>
      <c r="E104" s="24">
        <v>52234</v>
      </c>
      <c r="F104" s="16">
        <f t="shared" ref="F104:F120" si="11">E104/D104*100</f>
        <v>49.577630554870062</v>
      </c>
      <c r="G104" s="25">
        <v>8484</v>
      </c>
      <c r="H104" s="14">
        <f t="shared" ref="H104:H116" si="12">G104/E104%</f>
        <v>16.242294291074778</v>
      </c>
      <c r="I104" s="25">
        <v>1968</v>
      </c>
      <c r="J104" s="26">
        <v>807</v>
      </c>
      <c r="K104" s="14">
        <f t="shared" ref="K104:K115" si="13">J104/E104%</f>
        <v>1.5449707087337747</v>
      </c>
      <c r="L104" s="26">
        <v>30</v>
      </c>
    </row>
    <row r="105" spans="2:12" ht="13.75" customHeight="1">
      <c r="B105" s="35"/>
      <c r="C105" s="43" t="s">
        <v>13</v>
      </c>
      <c r="D105" s="23">
        <v>935</v>
      </c>
      <c r="E105" s="24">
        <v>384</v>
      </c>
      <c r="F105" s="16">
        <f t="shared" si="11"/>
        <v>41.069518716577541</v>
      </c>
      <c r="G105" s="25">
        <v>26</v>
      </c>
      <c r="H105" s="14">
        <f t="shared" si="12"/>
        <v>6.7708333333333339</v>
      </c>
      <c r="I105" s="25">
        <v>6</v>
      </c>
      <c r="J105" s="26">
        <v>2</v>
      </c>
      <c r="K105" s="14">
        <f t="shared" si="13"/>
        <v>0.52083333333333337</v>
      </c>
      <c r="L105" s="22">
        <v>0</v>
      </c>
    </row>
    <row r="106" spans="2:12" ht="13.75" customHeight="1">
      <c r="B106" s="35"/>
      <c r="C106" s="43" t="s">
        <v>14</v>
      </c>
      <c r="D106" s="23">
        <v>2861</v>
      </c>
      <c r="E106" s="24">
        <v>1075</v>
      </c>
      <c r="F106" s="16">
        <f t="shared" si="11"/>
        <v>37.574274729115693</v>
      </c>
      <c r="G106" s="25">
        <v>143</v>
      </c>
      <c r="H106" s="14">
        <f t="shared" si="12"/>
        <v>13.302325581395349</v>
      </c>
      <c r="I106" s="25">
        <v>34</v>
      </c>
      <c r="J106" s="26">
        <v>17</v>
      </c>
      <c r="K106" s="14">
        <f t="shared" si="13"/>
        <v>1.5813953488372092</v>
      </c>
      <c r="L106" s="26">
        <v>1</v>
      </c>
    </row>
    <row r="107" spans="2:12" ht="13.75" customHeight="1">
      <c r="B107" s="35"/>
      <c r="C107" s="43" t="s">
        <v>15</v>
      </c>
      <c r="D107" s="23">
        <v>16660</v>
      </c>
      <c r="E107" s="24">
        <v>7582</v>
      </c>
      <c r="F107" s="16">
        <f t="shared" si="11"/>
        <v>45.510204081632658</v>
      </c>
      <c r="G107" s="25">
        <v>769</v>
      </c>
      <c r="H107" s="14">
        <f t="shared" si="12"/>
        <v>10.142442627275127</v>
      </c>
      <c r="I107" s="25">
        <v>177</v>
      </c>
      <c r="J107" s="26">
        <v>36</v>
      </c>
      <c r="K107" s="14">
        <f t="shared" si="13"/>
        <v>0.47480875758375102</v>
      </c>
      <c r="L107" s="26">
        <v>1</v>
      </c>
    </row>
    <row r="108" spans="2:12" ht="13.75" customHeight="1">
      <c r="B108" s="35"/>
      <c r="C108" s="43" t="s">
        <v>16</v>
      </c>
      <c r="D108" s="23">
        <v>4330</v>
      </c>
      <c r="E108" s="24">
        <v>2081</v>
      </c>
      <c r="F108" s="16">
        <f t="shared" si="11"/>
        <v>48.060046189376443</v>
      </c>
      <c r="G108" s="25">
        <v>190</v>
      </c>
      <c r="H108" s="14">
        <f t="shared" si="12"/>
        <v>9.1302258529553111</v>
      </c>
      <c r="I108" s="25">
        <v>31</v>
      </c>
      <c r="J108" s="26">
        <v>8</v>
      </c>
      <c r="K108" s="14">
        <f t="shared" si="13"/>
        <v>0.38443056222969729</v>
      </c>
      <c r="L108" s="26">
        <v>1</v>
      </c>
    </row>
    <row r="109" spans="2:12" ht="13.75" customHeight="1">
      <c r="B109" s="35"/>
      <c r="C109" s="43" t="s">
        <v>17</v>
      </c>
      <c r="D109" s="23">
        <v>797</v>
      </c>
      <c r="E109" s="24">
        <v>415</v>
      </c>
      <c r="F109" s="16">
        <f t="shared" si="11"/>
        <v>52.0702634880803</v>
      </c>
      <c r="G109" s="25">
        <v>52</v>
      </c>
      <c r="H109" s="14">
        <f t="shared" si="12"/>
        <v>12.53012048192771</v>
      </c>
      <c r="I109" s="25">
        <v>13</v>
      </c>
      <c r="J109" s="26">
        <v>3</v>
      </c>
      <c r="K109" s="14">
        <f t="shared" si="13"/>
        <v>0.72289156626506013</v>
      </c>
      <c r="L109" s="26">
        <v>0</v>
      </c>
    </row>
    <row r="110" spans="2:12" ht="13.75" customHeight="1">
      <c r="B110" s="35"/>
      <c r="C110" s="43" t="s">
        <v>66</v>
      </c>
      <c r="D110" s="23">
        <v>3647</v>
      </c>
      <c r="E110" s="24">
        <v>1923</v>
      </c>
      <c r="F110" s="16">
        <f t="shared" si="11"/>
        <v>52.728269810803397</v>
      </c>
      <c r="G110" s="25">
        <v>331</v>
      </c>
      <c r="H110" s="14">
        <f t="shared" si="12"/>
        <v>17.2126885075403</v>
      </c>
      <c r="I110" s="25">
        <v>75</v>
      </c>
      <c r="J110" s="26">
        <v>15</v>
      </c>
      <c r="K110" s="14">
        <f t="shared" si="13"/>
        <v>0.78003120124804992</v>
      </c>
      <c r="L110" s="26">
        <v>0</v>
      </c>
    </row>
    <row r="111" spans="2:12" ht="13.75" customHeight="1">
      <c r="B111" s="35"/>
      <c r="C111" s="43" t="s">
        <v>67</v>
      </c>
      <c r="D111" s="23">
        <v>43574</v>
      </c>
      <c r="E111" s="24">
        <v>23336</v>
      </c>
      <c r="F111" s="16">
        <f t="shared" si="11"/>
        <v>53.554872171478408</v>
      </c>
      <c r="G111" s="25">
        <v>4956</v>
      </c>
      <c r="H111" s="14">
        <f t="shared" si="12"/>
        <v>21.237572848817276</v>
      </c>
      <c r="I111" s="25">
        <v>1149</v>
      </c>
      <c r="J111" s="26">
        <v>579</v>
      </c>
      <c r="K111" s="14">
        <f t="shared" si="13"/>
        <v>2.4811450119986285</v>
      </c>
      <c r="L111" s="26">
        <v>20</v>
      </c>
    </row>
    <row r="112" spans="2:12" ht="13.75" customHeight="1">
      <c r="B112" s="35"/>
      <c r="C112" s="43" t="s">
        <v>68</v>
      </c>
      <c r="D112" s="23">
        <v>9657</v>
      </c>
      <c r="E112" s="24">
        <v>5150</v>
      </c>
      <c r="F112" s="16">
        <f t="shared" si="11"/>
        <v>53.329191260225741</v>
      </c>
      <c r="G112" s="25">
        <v>757</v>
      </c>
      <c r="H112" s="14">
        <f t="shared" si="12"/>
        <v>14.699029126213592</v>
      </c>
      <c r="I112" s="25">
        <v>193</v>
      </c>
      <c r="J112" s="26">
        <v>70</v>
      </c>
      <c r="K112" s="14">
        <f t="shared" si="13"/>
        <v>1.3592233009708738</v>
      </c>
      <c r="L112" s="26">
        <v>2</v>
      </c>
    </row>
    <row r="113" spans="2:12" ht="13.75" customHeight="1">
      <c r="B113" s="35"/>
      <c r="C113" s="43" t="s">
        <v>21</v>
      </c>
      <c r="D113" s="23">
        <v>1832</v>
      </c>
      <c r="E113" s="24">
        <v>773</v>
      </c>
      <c r="F113" s="16">
        <f t="shared" si="11"/>
        <v>42.194323144104807</v>
      </c>
      <c r="G113" s="25">
        <v>171</v>
      </c>
      <c r="H113" s="14">
        <f t="shared" si="12"/>
        <v>22.121604139715394</v>
      </c>
      <c r="I113" s="25">
        <v>47</v>
      </c>
      <c r="J113" s="26">
        <v>6</v>
      </c>
      <c r="K113" s="14">
        <f t="shared" si="13"/>
        <v>0.77619663648124182</v>
      </c>
      <c r="L113" s="22">
        <v>0</v>
      </c>
    </row>
    <row r="114" spans="2:12" ht="13.75" customHeight="1">
      <c r="B114" s="35"/>
      <c r="C114" s="43" t="s">
        <v>22</v>
      </c>
      <c r="D114" s="23">
        <v>1133</v>
      </c>
      <c r="E114" s="24">
        <v>377</v>
      </c>
      <c r="F114" s="16">
        <f t="shared" si="11"/>
        <v>33.274492497793467</v>
      </c>
      <c r="G114" s="25">
        <v>55</v>
      </c>
      <c r="H114" s="14">
        <f t="shared" si="12"/>
        <v>14.588859416445624</v>
      </c>
      <c r="I114" s="25">
        <v>12</v>
      </c>
      <c r="J114" s="26">
        <v>5</v>
      </c>
      <c r="K114" s="14">
        <f t="shared" si="13"/>
        <v>1.3262599469496021</v>
      </c>
      <c r="L114" s="22">
        <v>1</v>
      </c>
    </row>
    <row r="115" spans="2:12" ht="13.75" customHeight="1">
      <c r="B115" s="35"/>
      <c r="C115" s="43" t="s">
        <v>23</v>
      </c>
      <c r="D115" s="23">
        <v>1457</v>
      </c>
      <c r="E115" s="24">
        <v>564</v>
      </c>
      <c r="F115" s="16">
        <f t="shared" si="11"/>
        <v>38.70967741935484</v>
      </c>
      <c r="G115" s="25">
        <v>73</v>
      </c>
      <c r="H115" s="14">
        <f t="shared" si="12"/>
        <v>12.943262411347519</v>
      </c>
      <c r="I115" s="25">
        <v>21</v>
      </c>
      <c r="J115" s="26">
        <v>7</v>
      </c>
      <c r="K115" s="14">
        <f t="shared" si="13"/>
        <v>1.2411347517730498</v>
      </c>
      <c r="L115" s="26">
        <v>1</v>
      </c>
    </row>
    <row r="116" spans="2:12" ht="13.75" customHeight="1">
      <c r="B116" s="35"/>
      <c r="C116" s="43" t="s">
        <v>24</v>
      </c>
      <c r="D116" s="23">
        <v>702</v>
      </c>
      <c r="E116" s="24">
        <v>329</v>
      </c>
      <c r="F116" s="16">
        <f t="shared" si="11"/>
        <v>46.866096866096868</v>
      </c>
      <c r="G116" s="25">
        <v>30</v>
      </c>
      <c r="H116" s="14">
        <f t="shared" si="12"/>
        <v>9.1185410334346511</v>
      </c>
      <c r="I116" s="25">
        <v>9</v>
      </c>
      <c r="J116" s="26">
        <v>0</v>
      </c>
      <c r="K116" s="25"/>
      <c r="L116" s="22">
        <v>0</v>
      </c>
    </row>
    <row r="117" spans="2:12" ht="13.75" customHeight="1">
      <c r="B117" s="35"/>
      <c r="C117" s="43" t="s">
        <v>25</v>
      </c>
      <c r="D117" s="23">
        <v>188</v>
      </c>
      <c r="E117" s="24">
        <v>56</v>
      </c>
      <c r="F117" s="16">
        <f t="shared" si="11"/>
        <v>29.787234042553191</v>
      </c>
      <c r="G117" s="9">
        <v>0</v>
      </c>
      <c r="H117" s="9"/>
      <c r="I117" s="22">
        <v>0</v>
      </c>
      <c r="J117" s="22">
        <v>0</v>
      </c>
      <c r="K117" s="14"/>
      <c r="L117" s="22">
        <v>0</v>
      </c>
    </row>
    <row r="118" spans="2:12" ht="13.75" customHeight="1">
      <c r="B118" s="35"/>
      <c r="C118" s="43" t="s">
        <v>26</v>
      </c>
      <c r="D118" s="23">
        <v>3329</v>
      </c>
      <c r="E118" s="24">
        <v>1549</v>
      </c>
      <c r="F118" s="16">
        <f t="shared" si="11"/>
        <v>46.530489636527484</v>
      </c>
      <c r="G118" s="25">
        <v>236</v>
      </c>
      <c r="H118" s="14">
        <f>G118/E118%</f>
        <v>15.235635894125242</v>
      </c>
      <c r="I118" s="25">
        <v>61</v>
      </c>
      <c r="J118" s="26">
        <v>23</v>
      </c>
      <c r="K118" s="14">
        <f>J118/E118%</f>
        <v>1.4848289218850872</v>
      </c>
      <c r="L118" s="22">
        <v>1</v>
      </c>
    </row>
    <row r="119" spans="2:12" ht="13.75" customHeight="1">
      <c r="B119" s="35"/>
      <c r="C119" s="43" t="s">
        <v>27</v>
      </c>
      <c r="D119" s="23">
        <v>1517</v>
      </c>
      <c r="E119" s="24">
        <v>960</v>
      </c>
      <c r="F119" s="16">
        <f t="shared" si="11"/>
        <v>63.282794990112066</v>
      </c>
      <c r="G119" s="25">
        <v>94</v>
      </c>
      <c r="H119" s="14">
        <f>G119/E119%</f>
        <v>9.7916666666666679</v>
      </c>
      <c r="I119" s="25">
        <v>15</v>
      </c>
      <c r="J119" s="26">
        <v>5</v>
      </c>
      <c r="K119" s="14">
        <f>J119/E119%</f>
        <v>0.52083333333333337</v>
      </c>
      <c r="L119" s="22">
        <v>0</v>
      </c>
    </row>
    <row r="120" spans="2:12" ht="13.75" customHeight="1">
      <c r="B120" s="34"/>
      <c r="C120" s="44" t="s">
        <v>28</v>
      </c>
      <c r="D120" s="23">
        <f>D104-SUM(D105:D119)</f>
        <v>12739</v>
      </c>
      <c r="E120" s="24">
        <f>E104-SUM(E105:E119)</f>
        <v>5680</v>
      </c>
      <c r="F120" s="16">
        <f t="shared" si="11"/>
        <v>44.587487243896696</v>
      </c>
      <c r="G120" s="25">
        <f>G104-SUM(G105:G119)</f>
        <v>601</v>
      </c>
      <c r="H120" s="14">
        <f>G120/E120%</f>
        <v>10.580985915492958</v>
      </c>
      <c r="I120" s="23">
        <f>I104-SUM(I105:I119)</f>
        <v>125</v>
      </c>
      <c r="J120" s="26">
        <f>J104-SUM(J105:J119)</f>
        <v>31</v>
      </c>
      <c r="K120" s="14">
        <f>J120/E120%</f>
        <v>0.54577464788732399</v>
      </c>
      <c r="L120" s="26">
        <f>L104-SUM(L105:L119)</f>
        <v>2</v>
      </c>
    </row>
    <row r="121" spans="2:12" ht="13.75" customHeight="1">
      <c r="B121" s="34"/>
      <c r="C121" s="44"/>
      <c r="D121" s="23"/>
      <c r="E121" s="24"/>
      <c r="F121" s="16"/>
      <c r="G121" s="25"/>
      <c r="H121" s="14"/>
      <c r="I121" s="25"/>
      <c r="J121" s="26"/>
      <c r="K121" s="14"/>
      <c r="L121" s="26"/>
    </row>
    <row r="122" spans="2:12" ht="13.75" customHeight="1">
      <c r="B122" s="170" t="s">
        <v>29</v>
      </c>
      <c r="C122" s="171"/>
      <c r="D122" s="23">
        <v>68900</v>
      </c>
      <c r="E122" s="24">
        <v>27244</v>
      </c>
      <c r="F122" s="16">
        <f t="shared" ref="F122:F127" si="14">E122/D122*100</f>
        <v>39.541364296081277</v>
      </c>
      <c r="G122" s="25">
        <v>3785</v>
      </c>
      <c r="H122" s="14">
        <f t="shared" ref="H122:H127" si="15">G122/E122%</f>
        <v>13.892967258845985</v>
      </c>
      <c r="I122" s="25">
        <v>722</v>
      </c>
      <c r="J122" s="26">
        <v>354</v>
      </c>
      <c r="K122" s="14">
        <f>J122/E122%</f>
        <v>1.2993686683306416</v>
      </c>
      <c r="L122" s="26">
        <v>31</v>
      </c>
    </row>
    <row r="123" spans="2:12" ht="13.75" customHeight="1">
      <c r="B123" s="34"/>
      <c r="C123" s="44" t="s">
        <v>30</v>
      </c>
      <c r="D123" s="23">
        <v>2506</v>
      </c>
      <c r="E123" s="24">
        <v>473</v>
      </c>
      <c r="F123" s="16">
        <f t="shared" si="14"/>
        <v>18.874700718276138</v>
      </c>
      <c r="G123" s="25">
        <v>2</v>
      </c>
      <c r="H123" s="14">
        <f t="shared" si="15"/>
        <v>0.42283298097251582</v>
      </c>
      <c r="I123" s="25">
        <v>0</v>
      </c>
      <c r="J123" s="22">
        <v>0</v>
      </c>
      <c r="K123" s="9"/>
      <c r="L123" s="26">
        <v>0</v>
      </c>
    </row>
    <row r="124" spans="2:12" ht="13.75" customHeight="1">
      <c r="B124" s="36"/>
      <c r="C124" s="40" t="s">
        <v>47</v>
      </c>
      <c r="D124" s="23">
        <v>2960</v>
      </c>
      <c r="E124" s="24">
        <v>1480</v>
      </c>
      <c r="F124" s="16">
        <f t="shared" si="14"/>
        <v>50</v>
      </c>
      <c r="G124" s="25">
        <v>137</v>
      </c>
      <c r="H124" s="14">
        <f t="shared" si="15"/>
        <v>9.2567567567567561</v>
      </c>
      <c r="I124" s="25">
        <v>26</v>
      </c>
      <c r="J124" s="26">
        <v>11</v>
      </c>
      <c r="K124" s="14">
        <f>J124/E124%</f>
        <v>0.7432432432432432</v>
      </c>
      <c r="L124" s="22">
        <v>2</v>
      </c>
    </row>
    <row r="125" spans="2:12" ht="13.75" customHeight="1">
      <c r="B125" s="36"/>
      <c r="C125" s="44" t="s">
        <v>35</v>
      </c>
      <c r="D125" s="23">
        <v>18501</v>
      </c>
      <c r="E125" s="24">
        <v>12227</v>
      </c>
      <c r="F125" s="16">
        <f t="shared" si="14"/>
        <v>66.088319550294585</v>
      </c>
      <c r="G125" s="25">
        <v>2411</v>
      </c>
      <c r="H125" s="14">
        <f t="shared" si="15"/>
        <v>19.718655434693712</v>
      </c>
      <c r="I125" s="25">
        <v>506</v>
      </c>
      <c r="J125" s="26">
        <v>293</v>
      </c>
      <c r="K125" s="14">
        <f>J125/E125%</f>
        <v>2.3963359777541506</v>
      </c>
      <c r="L125" s="26">
        <v>15</v>
      </c>
    </row>
    <row r="126" spans="2:12" ht="13.75" customHeight="1">
      <c r="B126" s="36"/>
      <c r="C126" s="41" t="s">
        <v>69</v>
      </c>
      <c r="D126" s="23">
        <v>2413</v>
      </c>
      <c r="E126" s="24">
        <v>1289</v>
      </c>
      <c r="F126" s="16">
        <f t="shared" si="14"/>
        <v>53.418980522171566</v>
      </c>
      <c r="G126" s="25">
        <v>244</v>
      </c>
      <c r="H126" s="14">
        <f t="shared" si="15"/>
        <v>18.929402637703646</v>
      </c>
      <c r="I126" s="25">
        <v>64</v>
      </c>
      <c r="J126" s="26">
        <v>18</v>
      </c>
      <c r="K126" s="14">
        <f>J126/E126%</f>
        <v>1.3964313421256787</v>
      </c>
      <c r="L126" s="26">
        <v>2</v>
      </c>
    </row>
    <row r="127" spans="2:12" ht="13.75" customHeight="1">
      <c r="B127" s="108"/>
      <c r="C127" s="39" t="s">
        <v>28</v>
      </c>
      <c r="D127" s="29">
        <f>D122-SUM(D123:D126)</f>
        <v>42520</v>
      </c>
      <c r="E127" s="30">
        <f>E122-SUM(E123:E126)</f>
        <v>11775</v>
      </c>
      <c r="F127" s="31">
        <f t="shared" si="14"/>
        <v>27.692850423330196</v>
      </c>
      <c r="G127" s="32">
        <f>G122-SUM(G123:G126)</f>
        <v>991</v>
      </c>
      <c r="H127" s="106">
        <f t="shared" si="15"/>
        <v>8.4161358811040348</v>
      </c>
      <c r="I127" s="29">
        <f>I122-SUM(I123:I126)</f>
        <v>126</v>
      </c>
      <c r="J127" s="32">
        <f>J122-SUM(J123:J126)</f>
        <v>32</v>
      </c>
      <c r="K127" s="106">
        <f>J127/E127%</f>
        <v>0.27176220806794055</v>
      </c>
      <c r="L127" s="32">
        <f>L122-SUM(L123:L126)</f>
        <v>12</v>
      </c>
    </row>
    <row r="128" spans="2:12" ht="13.75" customHeight="1">
      <c r="C128" s="137"/>
      <c r="D128" s="138"/>
      <c r="E128" s="50"/>
      <c r="F128" s="50"/>
      <c r="G128" s="50"/>
      <c r="H128" s="50"/>
      <c r="I128" s="50"/>
      <c r="J128" s="50"/>
      <c r="K128" s="50"/>
      <c r="L128" s="50"/>
    </row>
    <row r="129" spans="2:12" s="1" customFormat="1" ht="14.95" thickBot="1">
      <c r="B129" s="3"/>
      <c r="C129" s="3"/>
      <c r="D129" s="3"/>
      <c r="E129" s="3"/>
      <c r="F129" s="3"/>
      <c r="G129" s="4"/>
      <c r="H129" s="4"/>
      <c r="I129" s="4"/>
      <c r="J129" s="4"/>
      <c r="K129" s="5"/>
      <c r="L129" s="60" t="s">
        <v>76</v>
      </c>
    </row>
    <row r="130" spans="2:12" s="1" customFormat="1" ht="14.95" thickTop="1">
      <c r="B130" s="144" t="s">
        <v>2</v>
      </c>
      <c r="C130" s="145"/>
      <c r="D130" s="150" t="s">
        <v>3</v>
      </c>
      <c r="E130" s="150" t="s">
        <v>4</v>
      </c>
      <c r="F130" s="150" t="s">
        <v>9</v>
      </c>
      <c r="G130" s="153" t="s">
        <v>5</v>
      </c>
      <c r="H130" s="154"/>
      <c r="I130" s="154"/>
      <c r="J130" s="154"/>
      <c r="K130" s="154"/>
      <c r="L130" s="154"/>
    </row>
    <row r="131" spans="2:12" s="1" customFormat="1" ht="14.3">
      <c r="B131" s="146"/>
      <c r="C131" s="147"/>
      <c r="D131" s="151"/>
      <c r="E131" s="151"/>
      <c r="F131" s="151"/>
      <c r="G131" s="155" t="s">
        <v>6</v>
      </c>
      <c r="H131" s="155"/>
      <c r="I131" s="2"/>
      <c r="J131" s="158" t="s">
        <v>7</v>
      </c>
      <c r="K131" s="159"/>
      <c r="L131" s="158" t="s">
        <v>10</v>
      </c>
    </row>
    <row r="132" spans="2:12" s="1" customFormat="1" ht="14.3">
      <c r="B132" s="146"/>
      <c r="C132" s="147"/>
      <c r="D132" s="151"/>
      <c r="E132" s="151"/>
      <c r="F132" s="151"/>
      <c r="G132" s="156"/>
      <c r="H132" s="156"/>
      <c r="I132" s="164" t="s">
        <v>8</v>
      </c>
      <c r="J132" s="160"/>
      <c r="K132" s="161"/>
      <c r="L132" s="160"/>
    </row>
    <row r="133" spans="2:12" s="1" customFormat="1" ht="14.3">
      <c r="B133" s="148"/>
      <c r="C133" s="149"/>
      <c r="D133" s="152"/>
      <c r="E133" s="152"/>
      <c r="F133" s="152"/>
      <c r="G133" s="157"/>
      <c r="H133" s="157"/>
      <c r="I133" s="165"/>
      <c r="J133" s="162"/>
      <c r="K133" s="163"/>
      <c r="L133" s="162"/>
    </row>
    <row r="134" spans="2:12" ht="13.75" customHeight="1">
      <c r="B134" s="166" t="s">
        <v>11</v>
      </c>
      <c r="C134" s="167"/>
      <c r="D134" s="96">
        <f>179603-45</f>
        <v>179558</v>
      </c>
      <c r="E134" s="97">
        <v>81339</v>
      </c>
      <c r="F134" s="8">
        <f>E134/D134*100</f>
        <v>45.299568941511936</v>
      </c>
      <c r="G134" s="25">
        <v>12036</v>
      </c>
      <c r="H134" s="14">
        <f>G134/E134%</f>
        <v>14.797329694242615</v>
      </c>
      <c r="I134" s="97">
        <f>2194+232</f>
        <v>2426</v>
      </c>
      <c r="J134" s="11">
        <v>1088</v>
      </c>
      <c r="K134" s="98">
        <f>J134/E134%</f>
        <v>1.3376117237733436</v>
      </c>
      <c r="L134" s="99">
        <v>72</v>
      </c>
    </row>
    <row r="135" spans="2:12" ht="13.75" customHeight="1">
      <c r="B135" s="51"/>
      <c r="C135" s="52"/>
      <c r="D135" s="14"/>
      <c r="E135" s="74"/>
      <c r="F135" s="16"/>
      <c r="G135" s="51"/>
      <c r="H135" s="14"/>
      <c r="I135" s="74"/>
      <c r="J135" s="54"/>
      <c r="K135" s="14"/>
      <c r="L135" s="76"/>
    </row>
    <row r="136" spans="2:12" ht="13.75" customHeight="1">
      <c r="B136" s="168" t="s">
        <v>12</v>
      </c>
      <c r="C136" s="169"/>
      <c r="D136" s="23">
        <f>110193-26</f>
        <v>110167</v>
      </c>
      <c r="E136" s="24">
        <v>53455</v>
      </c>
      <c r="F136" s="16">
        <f t="shared" ref="F136:F152" si="16">E136/D136*100</f>
        <v>48.521789646627397</v>
      </c>
      <c r="G136" s="25">
        <v>8584</v>
      </c>
      <c r="H136" s="14">
        <f t="shared" ref="H136:H148" si="17">G136/E136%</f>
        <v>16.058366850622019</v>
      </c>
      <c r="I136" s="25">
        <f>1739+148</f>
        <v>1887</v>
      </c>
      <c r="J136" s="26">
        <v>732</v>
      </c>
      <c r="K136" s="14">
        <f t="shared" ref="K136:K147" si="18">J136/E136%</f>
        <v>1.3693761107473577</v>
      </c>
      <c r="L136" s="26">
        <v>50</v>
      </c>
    </row>
    <row r="137" spans="2:12" ht="13.75" customHeight="1">
      <c r="B137" s="35"/>
      <c r="C137" s="43" t="s">
        <v>13</v>
      </c>
      <c r="D137" s="23">
        <f>835+2+32-5-0-1</f>
        <v>863</v>
      </c>
      <c r="E137" s="24">
        <f>368+1+8</f>
        <v>377</v>
      </c>
      <c r="F137" s="16">
        <f t="shared" si="16"/>
        <v>43.684820393974505</v>
      </c>
      <c r="G137" s="25">
        <f>36+1</f>
        <v>37</v>
      </c>
      <c r="H137" s="14">
        <f t="shared" si="17"/>
        <v>9.8143236074270561</v>
      </c>
      <c r="I137" s="25">
        <v>9</v>
      </c>
      <c r="J137" s="26">
        <v>2</v>
      </c>
      <c r="K137" s="14">
        <f t="shared" si="18"/>
        <v>0.5305039787798409</v>
      </c>
      <c r="L137" s="22">
        <v>0</v>
      </c>
    </row>
    <row r="138" spans="2:12" ht="13.75" customHeight="1">
      <c r="B138" s="35"/>
      <c r="C138" s="43" t="s">
        <v>14</v>
      </c>
      <c r="D138" s="23">
        <f>1712+1287+187-0-0-0</f>
        <v>3186</v>
      </c>
      <c r="E138" s="23">
        <f>647+506+56</f>
        <v>1209</v>
      </c>
      <c r="F138" s="16">
        <f t="shared" si="16"/>
        <v>37.947269303201509</v>
      </c>
      <c r="G138" s="25">
        <f>96+73+5</f>
        <v>174</v>
      </c>
      <c r="H138" s="14">
        <f t="shared" si="17"/>
        <v>14.392059553349876</v>
      </c>
      <c r="I138" s="25">
        <f>24+1+25+2</f>
        <v>52</v>
      </c>
      <c r="J138" s="26">
        <f>6+3+3</f>
        <v>12</v>
      </c>
      <c r="K138" s="14">
        <f t="shared" si="18"/>
        <v>0.99255583126550873</v>
      </c>
      <c r="L138" s="26">
        <v>0</v>
      </c>
    </row>
    <row r="139" spans="2:12" ht="13.75" customHeight="1">
      <c r="B139" s="35"/>
      <c r="C139" s="43" t="s">
        <v>15</v>
      </c>
      <c r="D139" s="23">
        <f>16719-8</f>
        <v>16711</v>
      </c>
      <c r="E139" s="24">
        <v>7488</v>
      </c>
      <c r="F139" s="16">
        <f t="shared" si="16"/>
        <v>44.808808569205908</v>
      </c>
      <c r="G139" s="25">
        <f>755</f>
        <v>755</v>
      </c>
      <c r="H139" s="14">
        <f t="shared" si="17"/>
        <v>10.082799145299147</v>
      </c>
      <c r="I139" s="25">
        <f>157+5</f>
        <v>162</v>
      </c>
      <c r="J139" s="26">
        <v>48</v>
      </c>
      <c r="K139" s="14">
        <f t="shared" si="18"/>
        <v>0.64102564102564108</v>
      </c>
      <c r="L139" s="26">
        <v>9</v>
      </c>
    </row>
    <row r="140" spans="2:12" ht="13.75" customHeight="1">
      <c r="B140" s="35"/>
      <c r="C140" s="43" t="s">
        <v>16</v>
      </c>
      <c r="D140" s="23">
        <f>4718-0</f>
        <v>4718</v>
      </c>
      <c r="E140" s="24">
        <v>2175</v>
      </c>
      <c r="F140" s="16">
        <f t="shared" si="16"/>
        <v>46.100042390843576</v>
      </c>
      <c r="G140" s="25">
        <v>204</v>
      </c>
      <c r="H140" s="14">
        <f t="shared" si="17"/>
        <v>9.3793103448275854</v>
      </c>
      <c r="I140" s="25">
        <f>41+3</f>
        <v>44</v>
      </c>
      <c r="J140" s="26">
        <v>4</v>
      </c>
      <c r="K140" s="14">
        <f t="shared" si="18"/>
        <v>0.18390804597701149</v>
      </c>
      <c r="L140" s="26">
        <v>1</v>
      </c>
    </row>
    <row r="141" spans="2:12" ht="13.75" customHeight="1">
      <c r="B141" s="35"/>
      <c r="C141" s="43" t="s">
        <v>17</v>
      </c>
      <c r="D141" s="23">
        <f>852-0</f>
        <v>852</v>
      </c>
      <c r="E141" s="24">
        <v>450</v>
      </c>
      <c r="F141" s="16">
        <f t="shared" si="16"/>
        <v>52.816901408450704</v>
      </c>
      <c r="G141" s="25">
        <v>56</v>
      </c>
      <c r="H141" s="14">
        <f t="shared" si="17"/>
        <v>12.444444444444445</v>
      </c>
      <c r="I141" s="25">
        <v>12</v>
      </c>
      <c r="J141" s="26">
        <v>2</v>
      </c>
      <c r="K141" s="14">
        <f t="shared" si="18"/>
        <v>0.44444444444444442</v>
      </c>
      <c r="L141" s="26">
        <v>0</v>
      </c>
    </row>
    <row r="142" spans="2:12" ht="13.75" customHeight="1">
      <c r="B142" s="35"/>
      <c r="C142" s="43" t="s">
        <v>66</v>
      </c>
      <c r="D142" s="23">
        <f>3103-0</f>
        <v>3103</v>
      </c>
      <c r="E142" s="24">
        <v>1588</v>
      </c>
      <c r="F142" s="16">
        <f t="shared" si="16"/>
        <v>51.176281018369316</v>
      </c>
      <c r="G142" s="25">
        <v>274</v>
      </c>
      <c r="H142" s="14">
        <f t="shared" si="17"/>
        <v>17.2544080604534</v>
      </c>
      <c r="I142" s="25">
        <v>54</v>
      </c>
      <c r="J142" s="26">
        <v>17</v>
      </c>
      <c r="K142" s="14">
        <f t="shared" si="18"/>
        <v>1.070528967254408</v>
      </c>
      <c r="L142" s="26">
        <v>3</v>
      </c>
    </row>
    <row r="143" spans="2:12" ht="13.75" customHeight="1">
      <c r="B143" s="35"/>
      <c r="C143" s="43" t="s">
        <v>67</v>
      </c>
      <c r="D143" s="23">
        <f>44668-7</f>
        <v>44661</v>
      </c>
      <c r="E143" s="24">
        <v>23773</v>
      </c>
      <c r="F143" s="16">
        <f t="shared" si="16"/>
        <v>53.229887373771298</v>
      </c>
      <c r="G143" s="25">
        <v>5023</v>
      </c>
      <c r="H143" s="14">
        <f t="shared" si="17"/>
        <v>21.129011904261137</v>
      </c>
      <c r="I143" s="25">
        <f>1027+117</f>
        <v>1144</v>
      </c>
      <c r="J143" s="26">
        <v>491</v>
      </c>
      <c r="K143" s="14">
        <f t="shared" si="18"/>
        <v>2.0653682749337485</v>
      </c>
      <c r="L143" s="26">
        <v>23</v>
      </c>
    </row>
    <row r="144" spans="2:12" ht="13.75" customHeight="1">
      <c r="B144" s="35"/>
      <c r="C144" s="43" t="s">
        <v>68</v>
      </c>
      <c r="D144" s="23">
        <f>11311-0</f>
        <v>11311</v>
      </c>
      <c r="E144" s="23">
        <v>5464</v>
      </c>
      <c r="F144" s="16">
        <f t="shared" si="16"/>
        <v>48.306957828662362</v>
      </c>
      <c r="G144" s="25">
        <v>760</v>
      </c>
      <c r="H144" s="14">
        <f t="shared" si="17"/>
        <v>13.909224011713031</v>
      </c>
      <c r="I144" s="25">
        <f>132+11</f>
        <v>143</v>
      </c>
      <c r="J144" s="26">
        <v>70</v>
      </c>
      <c r="K144" s="14">
        <f t="shared" si="18"/>
        <v>1.2811127379209371</v>
      </c>
      <c r="L144" s="26">
        <v>3</v>
      </c>
    </row>
    <row r="145" spans="2:12" ht="13.75" customHeight="1">
      <c r="B145" s="35"/>
      <c r="C145" s="43" t="s">
        <v>21</v>
      </c>
      <c r="D145" s="23">
        <f>2011-0</f>
        <v>2011</v>
      </c>
      <c r="E145" s="24">
        <v>897</v>
      </c>
      <c r="F145" s="16">
        <f t="shared" si="16"/>
        <v>44.604674291397316</v>
      </c>
      <c r="G145" s="25">
        <v>182</v>
      </c>
      <c r="H145" s="14">
        <f t="shared" si="17"/>
        <v>20.289855072463766</v>
      </c>
      <c r="I145" s="25">
        <v>35</v>
      </c>
      <c r="J145" s="26">
        <v>8</v>
      </c>
      <c r="K145" s="14">
        <f t="shared" si="18"/>
        <v>0.89186176142697871</v>
      </c>
      <c r="L145" s="22">
        <v>2</v>
      </c>
    </row>
    <row r="146" spans="2:12" ht="13.75" customHeight="1">
      <c r="B146" s="35"/>
      <c r="C146" s="43" t="s">
        <v>22</v>
      </c>
      <c r="D146" s="23">
        <v>1014</v>
      </c>
      <c r="E146" s="24">
        <v>361</v>
      </c>
      <c r="F146" s="16">
        <f t="shared" si="16"/>
        <v>35.601577909270219</v>
      </c>
      <c r="G146" s="25">
        <v>33</v>
      </c>
      <c r="H146" s="14">
        <f t="shared" si="17"/>
        <v>9.1412742382271475</v>
      </c>
      <c r="I146" s="25">
        <f>11+0</f>
        <v>11</v>
      </c>
      <c r="J146" s="26">
        <v>9</v>
      </c>
      <c r="K146" s="14">
        <f t="shared" si="18"/>
        <v>2.4930747922437675</v>
      </c>
      <c r="L146" s="22">
        <v>0</v>
      </c>
    </row>
    <row r="147" spans="2:12" ht="13.75" customHeight="1">
      <c r="B147" s="35"/>
      <c r="C147" s="43" t="s">
        <v>23</v>
      </c>
      <c r="D147" s="23">
        <f>1636</f>
        <v>1636</v>
      </c>
      <c r="E147" s="24">
        <v>647</v>
      </c>
      <c r="F147" s="16">
        <f t="shared" si="16"/>
        <v>39.547677261613693</v>
      </c>
      <c r="G147" s="25">
        <v>76</v>
      </c>
      <c r="H147" s="14">
        <f t="shared" si="17"/>
        <v>11.746522411128284</v>
      </c>
      <c r="I147" s="25">
        <f>21+0</f>
        <v>21</v>
      </c>
      <c r="J147" s="26">
        <v>12</v>
      </c>
      <c r="K147" s="14">
        <f t="shared" si="18"/>
        <v>1.8547140649149922</v>
      </c>
      <c r="L147" s="26">
        <v>1</v>
      </c>
    </row>
    <row r="148" spans="2:12" ht="13.75" customHeight="1">
      <c r="B148" s="35"/>
      <c r="C148" s="43" t="s">
        <v>24</v>
      </c>
      <c r="D148" s="23">
        <f>705-1</f>
        <v>704</v>
      </c>
      <c r="E148" s="24">
        <v>298</v>
      </c>
      <c r="F148" s="16">
        <f t="shared" si="16"/>
        <v>42.329545454545453</v>
      </c>
      <c r="G148" s="25">
        <v>33</v>
      </c>
      <c r="H148" s="14">
        <f t="shared" si="17"/>
        <v>11.073825503355705</v>
      </c>
      <c r="I148" s="25">
        <f>6+0</f>
        <v>6</v>
      </c>
      <c r="J148" s="26">
        <v>0</v>
      </c>
      <c r="K148" s="25"/>
      <c r="L148" s="22">
        <v>0</v>
      </c>
    </row>
    <row r="149" spans="2:12" ht="13.75" customHeight="1">
      <c r="B149" s="35"/>
      <c r="C149" s="43" t="s">
        <v>25</v>
      </c>
      <c r="D149" s="23">
        <f>104+115</f>
        <v>219</v>
      </c>
      <c r="E149" s="24">
        <f>26+40</f>
        <v>66</v>
      </c>
      <c r="F149" s="16">
        <f t="shared" si="16"/>
        <v>30.136986301369863</v>
      </c>
      <c r="G149" s="9">
        <v>0</v>
      </c>
      <c r="H149" s="9"/>
      <c r="I149" s="22">
        <v>0</v>
      </c>
      <c r="J149" s="22">
        <v>0</v>
      </c>
      <c r="K149" s="14"/>
      <c r="L149" s="22">
        <v>0</v>
      </c>
    </row>
    <row r="150" spans="2:12" ht="13.75" customHeight="1">
      <c r="B150" s="35"/>
      <c r="C150" s="43" t="s">
        <v>26</v>
      </c>
      <c r="D150" s="23">
        <f>3542-0</f>
        <v>3542</v>
      </c>
      <c r="E150" s="24">
        <v>1672</v>
      </c>
      <c r="F150" s="16">
        <f t="shared" si="16"/>
        <v>47.204968944099377</v>
      </c>
      <c r="G150" s="25">
        <v>263</v>
      </c>
      <c r="H150" s="14">
        <f>G150/E150%</f>
        <v>15.729665071770336</v>
      </c>
      <c r="I150" s="25">
        <f>70+0</f>
        <v>70</v>
      </c>
      <c r="J150" s="26">
        <v>24</v>
      </c>
      <c r="K150" s="14">
        <f>J150/E150%</f>
        <v>1.4354066985645935</v>
      </c>
      <c r="L150" s="22">
        <v>1</v>
      </c>
    </row>
    <row r="151" spans="2:12" ht="13.75" customHeight="1">
      <c r="B151" s="35"/>
      <c r="C151" s="43" t="s">
        <v>27</v>
      </c>
      <c r="D151" s="23">
        <f>1511-0</f>
        <v>1511</v>
      </c>
      <c r="E151" s="24">
        <v>926</v>
      </c>
      <c r="F151" s="16">
        <f t="shared" si="16"/>
        <v>61.283917935142284</v>
      </c>
      <c r="G151" s="25">
        <v>88</v>
      </c>
      <c r="H151" s="14">
        <f>G151/E151%</f>
        <v>9.5032397408207352</v>
      </c>
      <c r="I151" s="25">
        <f>12+1</f>
        <v>13</v>
      </c>
      <c r="J151" s="26">
        <v>4</v>
      </c>
      <c r="K151" s="14">
        <f>J151/E151%</f>
        <v>0.43196544276457882</v>
      </c>
      <c r="L151" s="22">
        <v>0</v>
      </c>
    </row>
    <row r="152" spans="2:12" ht="13.75" customHeight="1">
      <c r="B152" s="34"/>
      <c r="C152" s="44" t="s">
        <v>28</v>
      </c>
      <c r="D152" s="23">
        <f>D136-SUM(D137:D151)</f>
        <v>14125</v>
      </c>
      <c r="E152" s="24">
        <f>E136-SUM(E137:E151)</f>
        <v>6064</v>
      </c>
      <c r="F152" s="16">
        <f t="shared" si="16"/>
        <v>42.930973451327432</v>
      </c>
      <c r="G152" s="25">
        <f>G136-SUM(G137:G151)</f>
        <v>626</v>
      </c>
      <c r="H152" s="14">
        <f>G152/E152%</f>
        <v>10.323218997361478</v>
      </c>
      <c r="I152" s="23">
        <f>I136-SUM(I137:I151)</f>
        <v>111</v>
      </c>
      <c r="J152" s="26">
        <f>J136-SUM(J137:J151)</f>
        <v>29</v>
      </c>
      <c r="K152" s="14">
        <f>J152/E152%</f>
        <v>0.47823218997361477</v>
      </c>
      <c r="L152" s="26">
        <f>L136-SUM(L137:L151)</f>
        <v>7</v>
      </c>
    </row>
    <row r="153" spans="2:12" ht="13.75" customHeight="1">
      <c r="B153" s="34"/>
      <c r="C153" s="44"/>
      <c r="D153" s="23"/>
      <c r="E153" s="24"/>
      <c r="F153" s="16"/>
      <c r="G153" s="25"/>
      <c r="H153" s="14"/>
      <c r="I153" s="25"/>
      <c r="J153" s="26"/>
      <c r="K153" s="14"/>
      <c r="L153" s="26"/>
    </row>
    <row r="154" spans="2:12" ht="13.75" customHeight="1">
      <c r="B154" s="170" t="s">
        <v>29</v>
      </c>
      <c r="C154" s="171"/>
      <c r="D154" s="23">
        <f>69410-19</f>
        <v>69391</v>
      </c>
      <c r="E154" s="24">
        <v>27884</v>
      </c>
      <c r="F154" s="16">
        <f t="shared" ref="F154:F159" si="19">E154/D154*100</f>
        <v>40.183885518294879</v>
      </c>
      <c r="G154" s="25">
        <v>3452</v>
      </c>
      <c r="H154" s="14">
        <f t="shared" ref="H154:H159" si="20">G154/E154%</f>
        <v>12.379859417587149</v>
      </c>
      <c r="I154" s="25">
        <f>455+84</f>
        <v>539</v>
      </c>
      <c r="J154" s="26">
        <v>356</v>
      </c>
      <c r="K154" s="14">
        <f>J154/E154%</f>
        <v>1.2767178310142018</v>
      </c>
      <c r="L154" s="26">
        <v>22</v>
      </c>
    </row>
    <row r="155" spans="2:12" ht="13.75" customHeight="1">
      <c r="B155" s="34"/>
      <c r="C155" s="44" t="s">
        <v>30</v>
      </c>
      <c r="D155" s="23">
        <f>475-0</f>
        <v>475</v>
      </c>
      <c r="E155" s="24">
        <v>107</v>
      </c>
      <c r="F155" s="16">
        <f t="shared" si="19"/>
        <v>22.526315789473685</v>
      </c>
      <c r="G155" s="25">
        <v>4</v>
      </c>
      <c r="H155" s="14">
        <f t="shared" si="20"/>
        <v>3.7383177570093458</v>
      </c>
      <c r="I155" s="25">
        <v>0</v>
      </c>
      <c r="J155" s="22">
        <v>0</v>
      </c>
      <c r="K155" s="9"/>
      <c r="L155" s="26">
        <v>0</v>
      </c>
    </row>
    <row r="156" spans="2:12" ht="13.75" customHeight="1">
      <c r="B156" s="36"/>
      <c r="C156" s="40" t="s">
        <v>47</v>
      </c>
      <c r="D156" s="23">
        <f>2965-0</f>
        <v>2965</v>
      </c>
      <c r="E156" s="24">
        <v>1471</v>
      </c>
      <c r="F156" s="16">
        <f t="shared" si="19"/>
        <v>49.612141652613829</v>
      </c>
      <c r="G156" s="25">
        <v>134</v>
      </c>
      <c r="H156" s="14">
        <f t="shared" si="20"/>
        <v>9.1094493541808284</v>
      </c>
      <c r="I156" s="25">
        <f>22+3</f>
        <v>25</v>
      </c>
      <c r="J156" s="26">
        <v>11</v>
      </c>
      <c r="K156" s="14">
        <f>J156/E156%</f>
        <v>0.74779061862678442</v>
      </c>
      <c r="L156" s="22">
        <v>0</v>
      </c>
    </row>
    <row r="157" spans="2:12" ht="13.75" customHeight="1">
      <c r="B157" s="36"/>
      <c r="C157" s="44" t="s">
        <v>35</v>
      </c>
      <c r="D157" s="23">
        <f>17071-1</f>
        <v>17070</v>
      </c>
      <c r="E157" s="24">
        <v>11624</v>
      </c>
      <c r="F157" s="16">
        <f t="shared" si="19"/>
        <v>68.09607498535442</v>
      </c>
      <c r="G157" s="25">
        <v>2027</v>
      </c>
      <c r="H157" s="14">
        <f t="shared" si="20"/>
        <v>17.438059187887131</v>
      </c>
      <c r="I157" s="25">
        <f>254+67</f>
        <v>321</v>
      </c>
      <c r="J157" s="26">
        <v>305</v>
      </c>
      <c r="K157" s="14">
        <f>J157/E157%</f>
        <v>2.6238816242257399</v>
      </c>
      <c r="L157" s="26">
        <v>13</v>
      </c>
    </row>
    <row r="158" spans="2:12" ht="13.75" customHeight="1">
      <c r="B158" s="36"/>
      <c r="C158" s="41" t="s">
        <v>69</v>
      </c>
      <c r="D158" s="23">
        <f>2474-0</f>
        <v>2474</v>
      </c>
      <c r="E158" s="24">
        <v>1394</v>
      </c>
      <c r="F158" s="16">
        <f t="shared" si="19"/>
        <v>56.345998383185126</v>
      </c>
      <c r="G158" s="25">
        <v>200</v>
      </c>
      <c r="H158" s="14">
        <f t="shared" si="20"/>
        <v>14.347202295552368</v>
      </c>
      <c r="I158" s="25">
        <f>43+9</f>
        <v>52</v>
      </c>
      <c r="J158" s="26">
        <v>7</v>
      </c>
      <c r="K158" s="14">
        <f>J158/E158%</f>
        <v>0.5021520803443329</v>
      </c>
      <c r="L158" s="26">
        <v>1</v>
      </c>
    </row>
    <row r="159" spans="2:12" ht="13.75" customHeight="1">
      <c r="B159" s="108"/>
      <c r="C159" s="39" t="s">
        <v>28</v>
      </c>
      <c r="D159" s="29">
        <f>D154-SUM(D155:D158)</f>
        <v>46407</v>
      </c>
      <c r="E159" s="30">
        <f>E154-SUM(E155:E158)</f>
        <v>13288</v>
      </c>
      <c r="F159" s="31">
        <f t="shared" si="19"/>
        <v>28.633611308638784</v>
      </c>
      <c r="G159" s="32">
        <f>G154-SUM(G155:G158)</f>
        <v>1087</v>
      </c>
      <c r="H159" s="106">
        <f t="shared" si="20"/>
        <v>8.1803130644190247</v>
      </c>
      <c r="I159" s="29">
        <f>I154-SUM(I155:I158)</f>
        <v>141</v>
      </c>
      <c r="J159" s="32">
        <f>J154-SUM(J155:J158)</f>
        <v>33</v>
      </c>
      <c r="K159" s="106">
        <f>J159/E159%</f>
        <v>0.24834437086092717</v>
      </c>
      <c r="L159" s="32">
        <f>L154-SUM(L155:L158)</f>
        <v>8</v>
      </c>
    </row>
    <row r="160" spans="2:12" ht="13.75" customHeight="1">
      <c r="C160" s="137"/>
      <c r="D160" s="138"/>
      <c r="E160" s="50"/>
      <c r="F160" s="50"/>
      <c r="G160" s="50"/>
      <c r="H160" s="50"/>
      <c r="I160" s="50"/>
      <c r="J160" s="50"/>
      <c r="K160" s="50"/>
      <c r="L160" s="50"/>
    </row>
    <row r="161" spans="2:12" s="1" customFormat="1" ht="14.95" thickBot="1">
      <c r="B161" s="3"/>
      <c r="C161" s="3"/>
      <c r="D161" s="3"/>
      <c r="E161" s="3"/>
      <c r="F161" s="3"/>
      <c r="G161" s="4"/>
      <c r="H161" s="4"/>
      <c r="I161" s="4"/>
      <c r="J161" s="4"/>
      <c r="K161" s="5"/>
      <c r="L161" s="60" t="s">
        <v>77</v>
      </c>
    </row>
    <row r="162" spans="2:12" s="1" customFormat="1" ht="14.95" thickTop="1">
      <c r="B162" s="144" t="s">
        <v>2</v>
      </c>
      <c r="C162" s="145"/>
      <c r="D162" s="150" t="s">
        <v>3</v>
      </c>
      <c r="E162" s="150" t="s">
        <v>4</v>
      </c>
      <c r="F162" s="150" t="s">
        <v>9</v>
      </c>
      <c r="G162" s="153" t="s">
        <v>5</v>
      </c>
      <c r="H162" s="154"/>
      <c r="I162" s="154"/>
      <c r="J162" s="154"/>
      <c r="K162" s="154"/>
      <c r="L162" s="154"/>
    </row>
    <row r="163" spans="2:12" s="1" customFormat="1" ht="14.3">
      <c r="B163" s="146"/>
      <c r="C163" s="147"/>
      <c r="D163" s="151"/>
      <c r="E163" s="151"/>
      <c r="F163" s="151"/>
      <c r="G163" s="155" t="s">
        <v>6</v>
      </c>
      <c r="H163" s="155"/>
      <c r="I163" s="2"/>
      <c r="J163" s="158" t="s">
        <v>7</v>
      </c>
      <c r="K163" s="159"/>
      <c r="L163" s="158" t="s">
        <v>10</v>
      </c>
    </row>
    <row r="164" spans="2:12" s="1" customFormat="1" ht="14.3">
      <c r="B164" s="146"/>
      <c r="C164" s="147"/>
      <c r="D164" s="151"/>
      <c r="E164" s="151"/>
      <c r="F164" s="151"/>
      <c r="G164" s="156"/>
      <c r="H164" s="156"/>
      <c r="I164" s="164" t="s">
        <v>8</v>
      </c>
      <c r="J164" s="160"/>
      <c r="K164" s="161"/>
      <c r="L164" s="160"/>
    </row>
    <row r="165" spans="2:12" s="1" customFormat="1" ht="14.3">
      <c r="B165" s="148"/>
      <c r="C165" s="149"/>
      <c r="D165" s="152"/>
      <c r="E165" s="152"/>
      <c r="F165" s="152"/>
      <c r="G165" s="157"/>
      <c r="H165" s="157"/>
      <c r="I165" s="165"/>
      <c r="J165" s="162"/>
      <c r="K165" s="163"/>
      <c r="L165" s="162"/>
    </row>
    <row r="166" spans="2:12" ht="13.75" customHeight="1">
      <c r="B166" s="166" t="s">
        <v>11</v>
      </c>
      <c r="C166" s="167"/>
      <c r="D166" s="96">
        <f>181737-45</f>
        <v>181692</v>
      </c>
      <c r="E166" s="97">
        <v>84007</v>
      </c>
      <c r="F166" s="8">
        <f>E166/D166*100</f>
        <v>46.23593774079211</v>
      </c>
      <c r="G166" s="25">
        <v>12416</v>
      </c>
      <c r="H166" s="14">
        <f>G166/E166%</f>
        <v>14.779720737557584</v>
      </c>
      <c r="I166" s="97">
        <f>2379+243</f>
        <v>2622</v>
      </c>
      <c r="J166" s="11">
        <v>1018</v>
      </c>
      <c r="K166" s="98">
        <f>J166/E166%</f>
        <v>1.2118037782565738</v>
      </c>
      <c r="L166" s="99">
        <v>80</v>
      </c>
    </row>
    <row r="167" spans="2:12" ht="13.75" customHeight="1">
      <c r="B167" s="51"/>
      <c r="C167" s="52"/>
      <c r="D167" s="14"/>
      <c r="E167" s="74"/>
      <c r="F167" s="16"/>
      <c r="G167" s="51"/>
      <c r="H167" s="14"/>
      <c r="I167" s="74"/>
      <c r="J167" s="54"/>
      <c r="K167" s="14"/>
      <c r="L167" s="76"/>
    </row>
    <row r="168" spans="2:12" ht="13.75" customHeight="1">
      <c r="B168" s="168" t="s">
        <v>12</v>
      </c>
      <c r="C168" s="169"/>
      <c r="D168" s="23">
        <f>109441-23</f>
        <v>109418</v>
      </c>
      <c r="E168" s="24">
        <v>53497</v>
      </c>
      <c r="F168" s="16">
        <f t="shared" ref="F168:F184" si="21">E168/D168*100</f>
        <v>48.892321190297757</v>
      </c>
      <c r="G168" s="25">
        <v>8717</v>
      </c>
      <c r="H168" s="14">
        <f t="shared" ref="H168:H183" si="22">G168/E168%</f>
        <v>16.294371647008244</v>
      </c>
      <c r="I168" s="25">
        <f>1817+151</f>
        <v>1968</v>
      </c>
      <c r="J168" s="26">
        <v>717</v>
      </c>
      <c r="K168" s="14">
        <f t="shared" ref="K168:K180" si="23">J168/E168%</f>
        <v>1.3402620707703234</v>
      </c>
      <c r="L168" s="26">
        <v>51</v>
      </c>
    </row>
    <row r="169" spans="2:12" ht="13.75" customHeight="1">
      <c r="B169" s="35"/>
      <c r="C169" s="43" t="s">
        <v>13</v>
      </c>
      <c r="D169" s="23">
        <f>770-4+6+26</f>
        <v>798</v>
      </c>
      <c r="E169" s="24">
        <f>318+8</f>
        <v>326</v>
      </c>
      <c r="F169" s="16">
        <f t="shared" si="21"/>
        <v>40.852130325814535</v>
      </c>
      <c r="G169" s="25">
        <v>23</v>
      </c>
      <c r="H169" s="14">
        <f t="shared" si="22"/>
        <v>7.0552147239263805</v>
      </c>
      <c r="I169" s="25">
        <v>3</v>
      </c>
      <c r="J169" s="26">
        <v>5</v>
      </c>
      <c r="K169" s="14">
        <f t="shared" si="23"/>
        <v>1.5337423312883436</v>
      </c>
      <c r="L169" s="22">
        <v>1</v>
      </c>
    </row>
    <row r="170" spans="2:12" ht="13.75" customHeight="1">
      <c r="B170" s="35"/>
      <c r="C170" s="43" t="s">
        <v>14</v>
      </c>
      <c r="D170" s="23">
        <f>1604+1230-3+166</f>
        <v>2997</v>
      </c>
      <c r="E170" s="23">
        <f>712+480+62</f>
        <v>1254</v>
      </c>
      <c r="F170" s="16">
        <f t="shared" si="21"/>
        <v>41.841841841841841</v>
      </c>
      <c r="G170" s="25">
        <f>92+87+8</f>
        <v>187</v>
      </c>
      <c r="H170" s="14">
        <f t="shared" si="22"/>
        <v>14.912280701754387</v>
      </c>
      <c r="I170" s="25">
        <f>20+1+14+1</f>
        <v>36</v>
      </c>
      <c r="J170" s="26">
        <v>19</v>
      </c>
      <c r="K170" s="14">
        <f t="shared" si="23"/>
        <v>1.5151515151515154</v>
      </c>
      <c r="L170" s="26">
        <v>1</v>
      </c>
    </row>
    <row r="171" spans="2:12" ht="13.75" customHeight="1">
      <c r="B171" s="35"/>
      <c r="C171" s="43" t="s">
        <v>15</v>
      </c>
      <c r="D171" s="23">
        <f>15806-4</f>
        <v>15802</v>
      </c>
      <c r="E171" s="24">
        <v>7349</v>
      </c>
      <c r="F171" s="16">
        <f t="shared" si="21"/>
        <v>46.506771294772811</v>
      </c>
      <c r="G171" s="25">
        <v>760</v>
      </c>
      <c r="H171" s="14">
        <f t="shared" si="22"/>
        <v>10.341543067083958</v>
      </c>
      <c r="I171" s="25">
        <v>178</v>
      </c>
      <c r="J171" s="26">
        <v>38</v>
      </c>
      <c r="K171" s="14">
        <f t="shared" si="23"/>
        <v>0.5170771533541979</v>
      </c>
      <c r="L171" s="26">
        <v>10</v>
      </c>
    </row>
    <row r="172" spans="2:12" ht="13.75" customHeight="1">
      <c r="B172" s="35"/>
      <c r="C172" s="43" t="s">
        <v>16</v>
      </c>
      <c r="D172" s="23">
        <v>5004</v>
      </c>
      <c r="E172" s="24">
        <v>2408</v>
      </c>
      <c r="F172" s="16">
        <f t="shared" si="21"/>
        <v>48.121502797761792</v>
      </c>
      <c r="G172" s="25">
        <v>228</v>
      </c>
      <c r="H172" s="14">
        <f t="shared" si="22"/>
        <v>9.4684385382059801</v>
      </c>
      <c r="I172" s="25">
        <v>51</v>
      </c>
      <c r="J172" s="26">
        <v>10</v>
      </c>
      <c r="K172" s="14">
        <f t="shared" si="23"/>
        <v>0.41528239202657813</v>
      </c>
      <c r="L172" s="26">
        <v>4</v>
      </c>
    </row>
    <row r="173" spans="2:12" ht="13.75" customHeight="1">
      <c r="B173" s="35"/>
      <c r="C173" s="43" t="s">
        <v>17</v>
      </c>
      <c r="D173" s="23">
        <v>721</v>
      </c>
      <c r="E173" s="24">
        <v>408</v>
      </c>
      <c r="F173" s="16">
        <f t="shared" si="21"/>
        <v>56.588072122052701</v>
      </c>
      <c r="G173" s="25">
        <v>43</v>
      </c>
      <c r="H173" s="14">
        <f t="shared" si="22"/>
        <v>10.53921568627451</v>
      </c>
      <c r="I173" s="25">
        <v>14</v>
      </c>
      <c r="J173" s="26">
        <v>1</v>
      </c>
      <c r="K173" s="14">
        <f t="shared" si="23"/>
        <v>0.24509803921568626</v>
      </c>
      <c r="L173" s="26">
        <v>0</v>
      </c>
    </row>
    <row r="174" spans="2:12" ht="13.75" customHeight="1">
      <c r="B174" s="35"/>
      <c r="C174" s="43" t="s">
        <v>66</v>
      </c>
      <c r="D174" s="23">
        <v>3078</v>
      </c>
      <c r="E174" s="24">
        <v>1618</v>
      </c>
      <c r="F174" s="16">
        <f t="shared" si="21"/>
        <v>52.566601689408706</v>
      </c>
      <c r="G174" s="25">
        <v>245</v>
      </c>
      <c r="H174" s="14">
        <f t="shared" si="22"/>
        <v>15.142150803461064</v>
      </c>
      <c r="I174" s="25">
        <v>67</v>
      </c>
      <c r="J174" s="26">
        <v>7</v>
      </c>
      <c r="K174" s="14">
        <f t="shared" si="23"/>
        <v>0.43263288009888751</v>
      </c>
      <c r="L174" s="26">
        <v>0</v>
      </c>
    </row>
    <row r="175" spans="2:12" ht="13.75" customHeight="1">
      <c r="B175" s="35"/>
      <c r="C175" s="43" t="s">
        <v>67</v>
      </c>
      <c r="D175" s="23">
        <f>43455-4</f>
        <v>43451</v>
      </c>
      <c r="E175" s="24">
        <v>23477</v>
      </c>
      <c r="F175" s="16">
        <f t="shared" si="21"/>
        <v>54.030977422844131</v>
      </c>
      <c r="G175" s="25">
        <v>4998</v>
      </c>
      <c r="H175" s="14">
        <f t="shared" si="22"/>
        <v>21.288921071687181</v>
      </c>
      <c r="I175" s="25">
        <f>1038+118</f>
        <v>1156</v>
      </c>
      <c r="J175" s="26">
        <v>448</v>
      </c>
      <c r="K175" s="14">
        <f t="shared" si="23"/>
        <v>1.9082506282744813</v>
      </c>
      <c r="L175" s="26">
        <v>21</v>
      </c>
    </row>
    <row r="176" spans="2:12" ht="13.75" customHeight="1">
      <c r="B176" s="35"/>
      <c r="C176" s="43" t="s">
        <v>68</v>
      </c>
      <c r="D176" s="23">
        <v>11911</v>
      </c>
      <c r="E176" s="24">
        <v>5194</v>
      </c>
      <c r="F176" s="16">
        <f t="shared" si="21"/>
        <v>43.606750062967002</v>
      </c>
      <c r="G176" s="25">
        <v>760</v>
      </c>
      <c r="H176" s="14">
        <f t="shared" si="22"/>
        <v>14.63226800154024</v>
      </c>
      <c r="I176" s="25">
        <f>149+12</f>
        <v>161</v>
      </c>
      <c r="J176" s="26">
        <v>92</v>
      </c>
      <c r="K176" s="14">
        <f t="shared" si="23"/>
        <v>1.771274547554871</v>
      </c>
      <c r="L176" s="26">
        <v>3</v>
      </c>
    </row>
    <row r="177" spans="2:12" ht="13.75" customHeight="1">
      <c r="B177" s="35"/>
      <c r="C177" s="43" t="s">
        <v>21</v>
      </c>
      <c r="D177" s="23">
        <v>2089</v>
      </c>
      <c r="E177" s="24">
        <v>978</v>
      </c>
      <c r="F177" s="16">
        <f t="shared" si="21"/>
        <v>46.816658688367639</v>
      </c>
      <c r="G177" s="25">
        <v>227</v>
      </c>
      <c r="H177" s="14">
        <f t="shared" si="22"/>
        <v>23.210633946830267</v>
      </c>
      <c r="I177" s="25">
        <v>50</v>
      </c>
      <c r="J177" s="26">
        <v>17</v>
      </c>
      <c r="K177" s="14">
        <f t="shared" si="23"/>
        <v>1.7382413087934561</v>
      </c>
      <c r="L177" s="22">
        <v>0</v>
      </c>
    </row>
    <row r="178" spans="2:12" ht="13.75" customHeight="1">
      <c r="B178" s="35"/>
      <c r="C178" s="43" t="s">
        <v>22</v>
      </c>
      <c r="D178" s="23">
        <v>1027</v>
      </c>
      <c r="E178" s="24">
        <v>417</v>
      </c>
      <c r="F178" s="16">
        <f t="shared" si="21"/>
        <v>40.603700097370982</v>
      </c>
      <c r="G178" s="25">
        <v>59</v>
      </c>
      <c r="H178" s="14">
        <f t="shared" si="22"/>
        <v>14.148681055155876</v>
      </c>
      <c r="I178" s="25">
        <v>9</v>
      </c>
      <c r="J178" s="26">
        <v>3</v>
      </c>
      <c r="K178" s="14">
        <f t="shared" si="23"/>
        <v>0.71942446043165464</v>
      </c>
      <c r="L178" s="22">
        <v>0</v>
      </c>
    </row>
    <row r="179" spans="2:12" ht="13.75" customHeight="1">
      <c r="B179" s="35"/>
      <c r="C179" s="43" t="s">
        <v>23</v>
      </c>
      <c r="D179" s="23">
        <v>1621</v>
      </c>
      <c r="E179" s="24">
        <v>623</v>
      </c>
      <c r="F179" s="16">
        <f t="shared" si="21"/>
        <v>38.433066008636644</v>
      </c>
      <c r="G179" s="25">
        <v>94</v>
      </c>
      <c r="H179" s="14">
        <f t="shared" si="22"/>
        <v>15.08828250401284</v>
      </c>
      <c r="I179" s="25">
        <v>28</v>
      </c>
      <c r="J179" s="26">
        <v>6</v>
      </c>
      <c r="K179" s="14">
        <f t="shared" si="23"/>
        <v>0.96308186195826639</v>
      </c>
      <c r="L179" s="26">
        <v>1</v>
      </c>
    </row>
    <row r="180" spans="2:12" ht="13.75" customHeight="1">
      <c r="B180" s="35"/>
      <c r="C180" s="43" t="s">
        <v>24</v>
      </c>
      <c r="D180" s="23">
        <v>628</v>
      </c>
      <c r="E180" s="24">
        <v>246</v>
      </c>
      <c r="F180" s="16">
        <f t="shared" si="21"/>
        <v>39.171974522292999</v>
      </c>
      <c r="G180" s="25">
        <v>30</v>
      </c>
      <c r="H180" s="14">
        <f t="shared" si="22"/>
        <v>12.195121951219512</v>
      </c>
      <c r="I180" s="25">
        <v>8</v>
      </c>
      <c r="J180" s="26">
        <v>1</v>
      </c>
      <c r="K180" s="14">
        <f t="shared" si="23"/>
        <v>0.4065040650406504</v>
      </c>
      <c r="L180" s="22">
        <v>0</v>
      </c>
    </row>
    <row r="181" spans="2:12" ht="13.75" customHeight="1">
      <c r="B181" s="35"/>
      <c r="C181" s="43" t="s">
        <v>25</v>
      </c>
      <c r="D181" s="23">
        <f>98+142</f>
        <v>240</v>
      </c>
      <c r="E181" s="24">
        <f>34+51</f>
        <v>85</v>
      </c>
      <c r="F181" s="16">
        <f t="shared" si="21"/>
        <v>35.416666666666671</v>
      </c>
      <c r="G181" s="9">
        <v>2</v>
      </c>
      <c r="H181" s="14">
        <f t="shared" si="22"/>
        <v>2.3529411764705883</v>
      </c>
      <c r="I181" s="22">
        <v>0</v>
      </c>
      <c r="J181" s="22">
        <v>0</v>
      </c>
      <c r="K181" s="14"/>
      <c r="L181" s="22">
        <v>0</v>
      </c>
    </row>
    <row r="182" spans="2:12" ht="13.75" customHeight="1">
      <c r="B182" s="35"/>
      <c r="C182" s="43" t="s">
        <v>26</v>
      </c>
      <c r="D182" s="23">
        <v>3459</v>
      </c>
      <c r="E182" s="24">
        <v>1681</v>
      </c>
      <c r="F182" s="16">
        <f t="shared" si="21"/>
        <v>48.597860653368024</v>
      </c>
      <c r="G182" s="25">
        <v>236</v>
      </c>
      <c r="H182" s="14">
        <f t="shared" si="22"/>
        <v>14.039262343842951</v>
      </c>
      <c r="I182" s="25">
        <v>56</v>
      </c>
      <c r="J182" s="26">
        <v>26</v>
      </c>
      <c r="K182" s="14">
        <f>J182/E182%</f>
        <v>1.5466983938132066</v>
      </c>
      <c r="L182" s="22">
        <v>3</v>
      </c>
    </row>
    <row r="183" spans="2:12" ht="13.75" customHeight="1">
      <c r="B183" s="35"/>
      <c r="C183" s="43" t="s">
        <v>27</v>
      </c>
      <c r="D183" s="23">
        <v>1532</v>
      </c>
      <c r="E183" s="24">
        <v>943</v>
      </c>
      <c r="F183" s="16">
        <f t="shared" si="21"/>
        <v>61.553524804177549</v>
      </c>
      <c r="G183" s="25">
        <v>99</v>
      </c>
      <c r="H183" s="14">
        <f t="shared" si="22"/>
        <v>10.498409331919406</v>
      </c>
      <c r="I183" s="25">
        <v>17</v>
      </c>
      <c r="J183" s="26">
        <v>7</v>
      </c>
      <c r="K183" s="14">
        <f>J183/E183%</f>
        <v>0.74231177094379641</v>
      </c>
      <c r="L183" s="22">
        <v>2</v>
      </c>
    </row>
    <row r="184" spans="2:12" ht="13.75" customHeight="1">
      <c r="B184" s="34"/>
      <c r="C184" s="44" t="s">
        <v>28</v>
      </c>
      <c r="D184" s="23">
        <f>D168-SUM(D169:D183)</f>
        <v>15060</v>
      </c>
      <c r="E184" s="24">
        <f>E168-SUM(E169:E183)</f>
        <v>6490</v>
      </c>
      <c r="F184" s="16">
        <f t="shared" si="21"/>
        <v>43.094289508632137</v>
      </c>
      <c r="G184" s="25">
        <f>G168-SUM(G169:G183)</f>
        <v>726</v>
      </c>
      <c r="H184" s="14">
        <f>G184/E184%</f>
        <v>11.1864406779661</v>
      </c>
      <c r="I184" s="23">
        <f>I168-SUM(I169:I183)</f>
        <v>134</v>
      </c>
      <c r="J184" s="26">
        <f>J168-SUM(J169:J183)</f>
        <v>37</v>
      </c>
      <c r="K184" s="14">
        <f>J184/E184%</f>
        <v>0.57010785824345145</v>
      </c>
      <c r="L184" s="26">
        <f>L168-SUM(L169:L183)</f>
        <v>5</v>
      </c>
    </row>
    <row r="185" spans="2:12" ht="13.75" customHeight="1">
      <c r="B185" s="34"/>
      <c r="C185" s="44"/>
      <c r="D185" s="23"/>
      <c r="E185" s="24"/>
      <c r="F185" s="16"/>
      <c r="G185" s="25"/>
      <c r="H185" s="14"/>
      <c r="I185" s="25"/>
      <c r="J185" s="26"/>
      <c r="K185" s="14"/>
      <c r="L185" s="26"/>
    </row>
    <row r="186" spans="2:12" ht="13.75" customHeight="1">
      <c r="B186" s="170" t="s">
        <v>29</v>
      </c>
      <c r="C186" s="171"/>
      <c r="D186" s="23">
        <f>72296-22</f>
        <v>72274</v>
      </c>
      <c r="E186" s="24">
        <v>30510</v>
      </c>
      <c r="F186" s="16">
        <f t="shared" ref="F186:F191" si="24">E186/D186*100</f>
        <v>42.214350942247556</v>
      </c>
      <c r="G186" s="25">
        <v>3699</v>
      </c>
      <c r="H186" s="14">
        <f t="shared" ref="H186:H191" si="25">G186/E186%</f>
        <v>12.123893805309734</v>
      </c>
      <c r="I186" s="25">
        <f>562+92</f>
        <v>654</v>
      </c>
      <c r="J186" s="26">
        <v>301</v>
      </c>
      <c r="K186" s="14">
        <f>J186/E186%</f>
        <v>0.98656178302195996</v>
      </c>
      <c r="L186" s="26">
        <v>29</v>
      </c>
    </row>
    <row r="187" spans="2:12" ht="13.75" customHeight="1">
      <c r="B187" s="34"/>
      <c r="C187" s="44" t="s">
        <v>30</v>
      </c>
      <c r="D187" s="23">
        <v>673</v>
      </c>
      <c r="E187" s="24">
        <v>122</v>
      </c>
      <c r="F187" s="16">
        <f t="shared" si="24"/>
        <v>18.12778603268945</v>
      </c>
      <c r="G187" s="25">
        <v>3</v>
      </c>
      <c r="H187" s="14">
        <f t="shared" si="25"/>
        <v>2.459016393442623</v>
      </c>
      <c r="I187" s="25">
        <v>0</v>
      </c>
      <c r="J187" s="22">
        <v>0</v>
      </c>
      <c r="K187" s="9"/>
      <c r="L187" s="26">
        <v>0</v>
      </c>
    </row>
    <row r="188" spans="2:12" ht="13.75" customHeight="1">
      <c r="B188" s="36"/>
      <c r="C188" s="40" t="s">
        <v>47</v>
      </c>
      <c r="D188" s="23">
        <v>2601</v>
      </c>
      <c r="E188" s="24">
        <v>1266</v>
      </c>
      <c r="F188" s="16">
        <f t="shared" si="24"/>
        <v>48.673587081891576</v>
      </c>
      <c r="G188" s="25">
        <v>110</v>
      </c>
      <c r="H188" s="14">
        <f t="shared" si="25"/>
        <v>8.6887835703001581</v>
      </c>
      <c r="I188" s="25">
        <v>19</v>
      </c>
      <c r="J188" s="26">
        <v>2</v>
      </c>
      <c r="K188" s="14">
        <f>J188/E188%</f>
        <v>0.15797788309636651</v>
      </c>
      <c r="L188" s="22">
        <v>2</v>
      </c>
    </row>
    <row r="189" spans="2:12" ht="13.75" customHeight="1">
      <c r="B189" s="36"/>
      <c r="C189" s="44" t="s">
        <v>35</v>
      </c>
      <c r="D189" s="23">
        <f>19699-2</f>
        <v>19697</v>
      </c>
      <c r="E189" s="24">
        <v>13640</v>
      </c>
      <c r="F189" s="16">
        <f t="shared" si="24"/>
        <v>69.249124232116571</v>
      </c>
      <c r="G189" s="25">
        <v>2259</v>
      </c>
      <c r="H189" s="14">
        <f t="shared" si="25"/>
        <v>16.561583577712611</v>
      </c>
      <c r="I189" s="25">
        <f>351+81</f>
        <v>432</v>
      </c>
      <c r="J189" s="26">
        <v>256</v>
      </c>
      <c r="K189" s="14">
        <f>J189/E189%</f>
        <v>1.8768328445747799</v>
      </c>
      <c r="L189" s="26">
        <v>18</v>
      </c>
    </row>
    <row r="190" spans="2:12" ht="13.75" customHeight="1">
      <c r="B190" s="36"/>
      <c r="C190" s="41" t="s">
        <v>69</v>
      </c>
      <c r="D190" s="23">
        <f>1865-1</f>
        <v>1864</v>
      </c>
      <c r="E190" s="24">
        <v>1049</v>
      </c>
      <c r="F190" s="16">
        <f t="shared" si="24"/>
        <v>56.276824034334759</v>
      </c>
      <c r="G190" s="25">
        <v>166</v>
      </c>
      <c r="H190" s="14">
        <f t="shared" si="25"/>
        <v>15.824594852240228</v>
      </c>
      <c r="I190" s="25">
        <v>48</v>
      </c>
      <c r="J190" s="26">
        <v>13</v>
      </c>
      <c r="K190" s="14">
        <f>J190/E190%</f>
        <v>1.2392755004766445</v>
      </c>
      <c r="L190" s="26">
        <v>0</v>
      </c>
    </row>
    <row r="191" spans="2:12" ht="13.75" customHeight="1">
      <c r="B191" s="108"/>
      <c r="C191" s="39" t="s">
        <v>28</v>
      </c>
      <c r="D191" s="29">
        <f>D186-SUM(D187:D190)</f>
        <v>47439</v>
      </c>
      <c r="E191" s="30">
        <f>E186-SUM(E187:E190)</f>
        <v>14433</v>
      </c>
      <c r="F191" s="31">
        <f t="shared" si="24"/>
        <v>30.424334408398153</v>
      </c>
      <c r="G191" s="32">
        <f>G186-SUM(G187:G190)</f>
        <v>1161</v>
      </c>
      <c r="H191" s="106">
        <f t="shared" si="25"/>
        <v>8.0440656828102259</v>
      </c>
      <c r="I191" s="29">
        <f>I186-SUM(I187:I190)</f>
        <v>155</v>
      </c>
      <c r="J191" s="32">
        <f>J186-SUM(J187:J190)</f>
        <v>30</v>
      </c>
      <c r="K191" s="106">
        <f>J191/E191%</f>
        <v>0.20785699438786112</v>
      </c>
      <c r="L191" s="32">
        <f>L186-SUM(L187:L190)</f>
        <v>9</v>
      </c>
    </row>
    <row r="192" spans="2:12" ht="14.3">
      <c r="B192" s="59" t="s">
        <v>38</v>
      </c>
      <c r="C192" s="142" t="s">
        <v>70</v>
      </c>
      <c r="D192" s="142"/>
      <c r="E192" s="142"/>
      <c r="F192" s="142"/>
      <c r="G192" s="142"/>
      <c r="H192" s="142"/>
      <c r="I192" s="142"/>
      <c r="J192" s="142"/>
      <c r="K192" s="142"/>
      <c r="L192" s="142"/>
    </row>
    <row r="193" spans="2:12" ht="14.3">
      <c r="B193" s="94" t="s">
        <v>57</v>
      </c>
      <c r="C193" s="141" t="s">
        <v>56</v>
      </c>
      <c r="D193" s="141"/>
      <c r="E193" s="141"/>
      <c r="F193" s="141"/>
      <c r="G193" s="141"/>
      <c r="H193" s="141"/>
      <c r="I193" s="141"/>
      <c r="J193" s="141"/>
      <c r="K193" s="141"/>
      <c r="L193" s="141"/>
    </row>
    <row r="194" spans="2:12" ht="13.75" customHeight="1">
      <c r="B194" s="95" t="s">
        <v>58</v>
      </c>
      <c r="C194" s="143" t="s">
        <v>40</v>
      </c>
      <c r="D194" s="143"/>
      <c r="E194" s="143"/>
      <c r="F194" s="143"/>
      <c r="G194" s="143"/>
      <c r="H194" s="143"/>
      <c r="I194" s="143"/>
      <c r="J194" s="143"/>
      <c r="K194" s="143"/>
      <c r="L194" s="143"/>
    </row>
    <row r="195" spans="2:12" ht="13.75" customHeight="1">
      <c r="B195" s="95" t="s">
        <v>59</v>
      </c>
      <c r="C195" s="143" t="s">
        <v>60</v>
      </c>
      <c r="D195" s="143"/>
      <c r="E195" s="143"/>
      <c r="F195" s="143"/>
      <c r="G195" s="143"/>
      <c r="H195" s="143"/>
      <c r="I195" s="143"/>
      <c r="J195" s="143"/>
      <c r="K195" s="143"/>
      <c r="L195" s="143"/>
    </row>
    <row r="196" spans="2:12" ht="13.75" customHeight="1">
      <c r="B196" s="95" t="s">
        <v>63</v>
      </c>
      <c r="C196" s="143" t="s">
        <v>42</v>
      </c>
      <c r="D196" s="143"/>
      <c r="E196" s="143"/>
      <c r="F196" s="143"/>
      <c r="G196" s="143"/>
      <c r="H196" s="143"/>
      <c r="I196" s="143"/>
      <c r="J196" s="143"/>
      <c r="K196" s="143"/>
      <c r="L196" s="143"/>
    </row>
    <row r="197" spans="2:12" ht="13.75" customHeight="1">
      <c r="B197" s="95" t="s">
        <v>61</v>
      </c>
      <c r="C197" s="143" t="s">
        <v>44</v>
      </c>
      <c r="D197" s="143"/>
      <c r="E197" s="143"/>
      <c r="F197" s="143"/>
      <c r="G197" s="143"/>
      <c r="H197" s="143"/>
      <c r="I197" s="143"/>
      <c r="J197" s="143"/>
      <c r="K197" s="143"/>
      <c r="L197" s="143"/>
    </row>
    <row r="198" spans="2:12" ht="13.75" customHeight="1">
      <c r="B198" s="57" t="s">
        <v>45</v>
      </c>
      <c r="C198" s="143" t="s">
        <v>46</v>
      </c>
      <c r="D198" s="143"/>
      <c r="E198" s="143"/>
      <c r="F198" s="143"/>
      <c r="G198" s="143"/>
      <c r="H198" s="143"/>
      <c r="I198" s="143"/>
      <c r="J198" s="143"/>
      <c r="K198" s="143"/>
      <c r="L198" s="143"/>
    </row>
  </sheetData>
  <mergeCells count="79">
    <mergeCell ref="C197:L197"/>
    <mergeCell ref="C198:L198"/>
    <mergeCell ref="C192:L192"/>
    <mergeCell ref="C193:L193"/>
    <mergeCell ref="C194:L194"/>
    <mergeCell ref="C195:L195"/>
    <mergeCell ref="C196:L196"/>
    <mergeCell ref="B122:C122"/>
    <mergeCell ref="F130:F133"/>
    <mergeCell ref="B166:C166"/>
    <mergeCell ref="B168:C168"/>
    <mergeCell ref="B186:C186"/>
    <mergeCell ref="B162:C165"/>
    <mergeCell ref="D162:D165"/>
    <mergeCell ref="B130:C133"/>
    <mergeCell ref="B136:C136"/>
    <mergeCell ref="E162:E165"/>
    <mergeCell ref="E130:E133"/>
    <mergeCell ref="B154:C154"/>
    <mergeCell ref="B134:C134"/>
    <mergeCell ref="E3:E6"/>
    <mergeCell ref="D3:D6"/>
    <mergeCell ref="D66:D69"/>
    <mergeCell ref="B66:C69"/>
    <mergeCell ref="B38:C38"/>
    <mergeCell ref="E66:E69"/>
    <mergeCell ref="B9:C9"/>
    <mergeCell ref="B27:C27"/>
    <mergeCell ref="B3:C6"/>
    <mergeCell ref="B7:C7"/>
    <mergeCell ref="B34:C37"/>
    <mergeCell ref="D34:D37"/>
    <mergeCell ref="E34:E37"/>
    <mergeCell ref="B40:C40"/>
    <mergeCell ref="B58:C58"/>
    <mergeCell ref="J4:K6"/>
    <mergeCell ref="I5:I6"/>
    <mergeCell ref="F3:F6"/>
    <mergeCell ref="G3:L3"/>
    <mergeCell ref="G4:H6"/>
    <mergeCell ref="L4:L6"/>
    <mergeCell ref="F34:F37"/>
    <mergeCell ref="G34:L34"/>
    <mergeCell ref="G35:H37"/>
    <mergeCell ref="L35:L37"/>
    <mergeCell ref="L67:L69"/>
    <mergeCell ref="F66:F69"/>
    <mergeCell ref="G66:L66"/>
    <mergeCell ref="G67:H69"/>
    <mergeCell ref="J35:K37"/>
    <mergeCell ref="I36:I37"/>
    <mergeCell ref="G98:L98"/>
    <mergeCell ref="J99:K101"/>
    <mergeCell ref="B98:C101"/>
    <mergeCell ref="J67:K69"/>
    <mergeCell ref="I68:I69"/>
    <mergeCell ref="B70:C70"/>
    <mergeCell ref="B90:C90"/>
    <mergeCell ref="B72:C72"/>
    <mergeCell ref="B102:C102"/>
    <mergeCell ref="B104:C104"/>
    <mergeCell ref="D98:D101"/>
    <mergeCell ref="E98:E101"/>
    <mergeCell ref="F98:F101"/>
    <mergeCell ref="G130:L130"/>
    <mergeCell ref="G131:H133"/>
    <mergeCell ref="D130:D133"/>
    <mergeCell ref="L99:L101"/>
    <mergeCell ref="G162:L162"/>
    <mergeCell ref="G99:H101"/>
    <mergeCell ref="I100:I101"/>
    <mergeCell ref="F162:F165"/>
    <mergeCell ref="G163:H165"/>
    <mergeCell ref="J163:K165"/>
    <mergeCell ref="L163:L165"/>
    <mergeCell ref="I164:I165"/>
    <mergeCell ref="J131:K133"/>
    <mergeCell ref="L131:L133"/>
    <mergeCell ref="I132:I133"/>
  </mergeCells>
  <phoneticPr fontId="3"/>
  <pageMargins left="0.75" right="0.75" top="1" bottom="1" header="0.51200000000000001" footer="0.51200000000000001"/>
  <pageSetup paperSize="9" scale="67" orientation="portrait" horizontalDpi="200" verticalDpi="200" r:id="rId1"/>
  <headerFooter alignWithMargins="0">
    <oddHeader>&amp;L&amp;D&amp;T&amp;R&amp;A</oddHeader>
    <oddFooter>&amp;A</oddFooter>
  </headerFooter>
  <rowBreaks count="2" manualBreakCount="2">
    <brk id="64" min="1" max="11" man="1"/>
    <brk id="12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Link Data 2013</vt:lpstr>
      <vt:lpstr>Link Data 2012</vt:lpstr>
      <vt:lpstr>Link Data 2011</vt:lpstr>
      <vt:lpstr>Link Data 2010</vt:lpstr>
      <vt:lpstr>Link Data 2009</vt:lpstr>
      <vt:lpstr>Link Data 2008</vt:lpstr>
      <vt:lpstr>Link Data 2007</vt:lpstr>
      <vt:lpstr>Link Data 2006</vt:lpstr>
      <vt:lpstr>Link Data 2000-2005</vt:lpstr>
      <vt:lpstr>'Link Data 2000-2005'!Print_Area</vt:lpstr>
      <vt:lpstr>'Link Data 2006'!Print_Area</vt:lpstr>
      <vt:lpstr>'Link Data 2007'!Print_Area</vt:lpstr>
      <vt:lpstr>'Link Data 2008'!Print_Area</vt:lpstr>
      <vt:lpstr>'Link Data 2009'!Print_Area</vt:lpstr>
      <vt:lpstr>'Link Data 2010'!Print_Area</vt:lpstr>
      <vt:lpstr>'Link Data 2011'!Print_Area</vt:lpstr>
      <vt:lpstr>'Link Data 2012'!Print_Area</vt:lpstr>
      <vt:lpstr>'Link Data 2013'!Print_Area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jyoho-2</dc:creator>
  <cp:lastModifiedBy>jyoho-2</cp:lastModifiedBy>
  <cp:lastPrinted>2015-03-20T04:28:17Z</cp:lastPrinted>
  <dcterms:created xsi:type="dcterms:W3CDTF">2001-02-21T06:53:21Z</dcterms:created>
  <dcterms:modified xsi:type="dcterms:W3CDTF">2015-11-11T04:57:31Z</dcterms:modified>
</cp:coreProperties>
</file>